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60" windowWidth="11700" windowHeight="5580" tabRatio="599" activeTab="3"/>
  </bookViews>
  <sheets>
    <sheet name="приходи" sheetId="13" r:id="rId1"/>
    <sheet name="разходи-ФУНК." sheetId="14" r:id="rId2"/>
    <sheet name="разходи-ЕЛЕМ." sheetId="16" r:id="rId3"/>
    <sheet name="капит.разх." sheetId="15" r:id="rId4"/>
  </sheets>
  <calcPr calcId="145621"/>
</workbook>
</file>

<file path=xl/calcChain.xml><?xml version="1.0" encoding="utf-8"?>
<calcChain xmlns="http://schemas.openxmlformats.org/spreadsheetml/2006/main">
  <c r="C11" i="16" l="1"/>
  <c r="C10" i="16"/>
  <c r="E7" i="16" l="1"/>
  <c r="E6" i="16"/>
  <c r="F13" i="15" l="1"/>
  <c r="F12" i="15"/>
  <c r="F11" i="15"/>
  <c r="F8" i="15"/>
  <c r="F6" i="15"/>
  <c r="F10" i="15"/>
  <c r="F9" i="15"/>
  <c r="F7" i="15"/>
  <c r="E12" i="16" l="1"/>
  <c r="E11" i="16"/>
  <c r="E8" i="16"/>
  <c r="F8" i="14" l="1"/>
  <c r="F12" i="14"/>
  <c r="F11" i="14"/>
  <c r="F10" i="14"/>
  <c r="F9" i="14"/>
  <c r="F7" i="14"/>
  <c r="F6" i="14"/>
  <c r="F13" i="14"/>
  <c r="F8" i="16" l="1"/>
  <c r="E10" i="16" l="1"/>
  <c r="E6" i="14" l="1"/>
  <c r="E12" i="14"/>
  <c r="E10" i="14"/>
  <c r="E9" i="14"/>
  <c r="E8" i="14"/>
  <c r="E7" i="14"/>
  <c r="F7" i="16" l="1"/>
  <c r="F6" i="16"/>
  <c r="E79" i="13" l="1"/>
  <c r="E82" i="13"/>
  <c r="E84" i="13"/>
  <c r="E85" i="13"/>
  <c r="E86" i="13"/>
  <c r="C82" i="13"/>
  <c r="C72" i="13"/>
  <c r="D72" i="13"/>
  <c r="C64" i="13"/>
  <c r="D50" i="13"/>
  <c r="C50" i="13"/>
  <c r="F11" i="16" l="1"/>
  <c r="F10" i="16"/>
  <c r="C12" i="16" l="1"/>
  <c r="C8" i="16"/>
  <c r="C7" i="16"/>
  <c r="C6" i="16"/>
  <c r="C12" i="15"/>
  <c r="C12" i="14"/>
  <c r="C10" i="15"/>
  <c r="C10" i="14"/>
  <c r="C8" i="15"/>
  <c r="C8" i="14"/>
  <c r="C7" i="14"/>
  <c r="C6" i="14"/>
  <c r="C9" i="16"/>
  <c r="C13" i="15"/>
  <c r="C13" i="14"/>
  <c r="C9" i="14"/>
  <c r="C7" i="15"/>
  <c r="C6" i="15"/>
  <c r="B8" i="16"/>
  <c r="B6" i="16"/>
  <c r="C14" i="15" l="1"/>
  <c r="B14" i="15"/>
  <c r="G13" i="15"/>
  <c r="D13" i="15"/>
  <c r="G12" i="15"/>
  <c r="D12" i="15"/>
  <c r="G11" i="15"/>
  <c r="D11" i="15"/>
  <c r="D10" i="15"/>
  <c r="G9" i="15"/>
  <c r="H9" i="15" s="1"/>
  <c r="D9" i="15"/>
  <c r="D8" i="15"/>
  <c r="E14" i="15"/>
  <c r="D7" i="15"/>
  <c r="F14" i="15"/>
  <c r="D6" i="15"/>
  <c r="E76" i="13"/>
  <c r="E94" i="13"/>
  <c r="E93" i="13"/>
  <c r="E91" i="13"/>
  <c r="E89" i="13"/>
  <c r="E68" i="13"/>
  <c r="E14" i="13"/>
  <c r="E11" i="13"/>
  <c r="E10" i="13"/>
  <c r="D14" i="15" l="1"/>
  <c r="H11" i="15"/>
  <c r="H12" i="15"/>
  <c r="H13" i="15"/>
  <c r="G6" i="15"/>
  <c r="H6" i="15" s="1"/>
  <c r="G8" i="15"/>
  <c r="H8" i="15" s="1"/>
  <c r="G10" i="15"/>
  <c r="H10" i="15" s="1"/>
  <c r="G7" i="15"/>
  <c r="H7" i="15" s="1"/>
  <c r="D12" i="16"/>
  <c r="D11" i="16"/>
  <c r="D10" i="16"/>
  <c r="D9" i="16"/>
  <c r="D8" i="16"/>
  <c r="D7" i="16"/>
  <c r="D6" i="16"/>
  <c r="G13" i="14"/>
  <c r="G11" i="14"/>
  <c r="G14" i="15" l="1"/>
  <c r="H14" i="15" s="1"/>
  <c r="G12" i="14"/>
  <c r="G10" i="14"/>
  <c r="G9" i="14"/>
  <c r="G8" i="14"/>
  <c r="G7" i="14"/>
  <c r="G6" i="14"/>
  <c r="G14" i="14"/>
  <c r="D14" i="14"/>
  <c r="D13" i="14"/>
  <c r="H13" i="14" s="1"/>
  <c r="D12" i="14"/>
  <c r="D11" i="14"/>
  <c r="H11" i="14" s="1"/>
  <c r="D10" i="14"/>
  <c r="H10" i="14" s="1"/>
  <c r="D9" i="14"/>
  <c r="H9" i="14" s="1"/>
  <c r="D8" i="14"/>
  <c r="H8" i="14" s="1"/>
  <c r="D7" i="14"/>
  <c r="H7" i="14" s="1"/>
  <c r="D6" i="14"/>
  <c r="H6" i="14" s="1"/>
  <c r="D92" i="13"/>
  <c r="C92" i="13"/>
  <c r="D69" i="13"/>
  <c r="C69" i="13"/>
  <c r="C63" i="13" s="1"/>
  <c r="D64" i="13"/>
  <c r="C59" i="13"/>
  <c r="C54" i="13"/>
  <c r="C47" i="13"/>
  <c r="C35" i="13"/>
  <c r="C29" i="13"/>
  <c r="C24" i="13"/>
  <c r="D13" i="13"/>
  <c r="C13" i="13"/>
  <c r="C12" i="13" s="1"/>
  <c r="D8" i="13"/>
  <c r="D7" i="13" s="1"/>
  <c r="C8" i="13"/>
  <c r="C7" i="13" s="1"/>
  <c r="C77" i="13" l="1"/>
  <c r="H12" i="14"/>
  <c r="H14" i="14"/>
  <c r="E92" i="13"/>
  <c r="D12" i="13"/>
  <c r="E12" i="13" s="1"/>
  <c r="E13" i="13"/>
  <c r="C22" i="13"/>
  <c r="E34" i="13" l="1"/>
  <c r="C13" i="16" l="1"/>
  <c r="B15" i="14"/>
  <c r="C15" i="14"/>
  <c r="C95" i="13"/>
  <c r="B13" i="16" l="1"/>
  <c r="D13" i="16"/>
  <c r="D15" i="14"/>
  <c r="C15" i="13"/>
  <c r="C97" i="13" s="1"/>
  <c r="G8" i="16" l="1"/>
  <c r="G6" i="16"/>
  <c r="D77" i="13"/>
  <c r="D47" i="13"/>
  <c r="E47" i="13" s="1"/>
  <c r="E49" i="13"/>
  <c r="E48" i="13"/>
  <c r="E88" i="13"/>
  <c r="F15" i="14"/>
  <c r="D63" i="13"/>
  <c r="F13" i="16"/>
  <c r="E90" i="13"/>
  <c r="E74" i="13"/>
  <c r="E66" i="13"/>
  <c r="E65" i="13"/>
  <c r="E62" i="13"/>
  <c r="E61" i="13"/>
  <c r="E60" i="13"/>
  <c r="E58" i="13"/>
  <c r="E57" i="13"/>
  <c r="E56" i="13"/>
  <c r="E55" i="13"/>
  <c r="E53" i="13"/>
  <c r="E52" i="13"/>
  <c r="E46" i="13"/>
  <c r="E45" i="13"/>
  <c r="E44" i="13"/>
  <c r="E43" i="13"/>
  <c r="E42" i="13"/>
  <c r="E41" i="13"/>
  <c r="E40" i="13"/>
  <c r="E39" i="13"/>
  <c r="E38" i="13"/>
  <c r="E37" i="13"/>
  <c r="E36" i="13"/>
  <c r="E33" i="13"/>
  <c r="E32" i="13"/>
  <c r="E31" i="13"/>
  <c r="E30" i="13"/>
  <c r="E28" i="13"/>
  <c r="E27" i="13"/>
  <c r="E26" i="13"/>
  <c r="E25" i="13"/>
  <c r="E23" i="13"/>
  <c r="D24" i="13"/>
  <c r="D29" i="13"/>
  <c r="E29" i="13" s="1"/>
  <c r="D35" i="13"/>
  <c r="E50" i="13"/>
  <c r="D54" i="13"/>
  <c r="D59" i="13"/>
  <c r="E59" i="13" s="1"/>
  <c r="E71" i="13"/>
  <c r="E9" i="13"/>
  <c r="G12" i="16"/>
  <c r="G11" i="16"/>
  <c r="G10" i="16"/>
  <c r="G9" i="16"/>
  <c r="H9" i="16" s="1"/>
  <c r="E15" i="14"/>
  <c r="G7" i="16"/>
  <c r="E75" i="13"/>
  <c r="E8" i="13"/>
  <c r="E13" i="16"/>
  <c r="E72" i="13" l="1"/>
  <c r="E63" i="13"/>
  <c r="H6" i="16"/>
  <c r="H12" i="16"/>
  <c r="H11" i="16"/>
  <c r="H8" i="16"/>
  <c r="H10" i="16"/>
  <c r="H7" i="16"/>
  <c r="E69" i="13"/>
  <c r="D15" i="13"/>
  <c r="E15" i="13" s="1"/>
  <c r="E7" i="13"/>
  <c r="E64" i="13"/>
  <c r="E54" i="13"/>
  <c r="E35" i="13"/>
  <c r="E24" i="13"/>
  <c r="E77" i="13"/>
  <c r="G13" i="16"/>
  <c r="G15" i="14"/>
  <c r="H15" i="14" s="1"/>
  <c r="D22" i="13"/>
  <c r="H13" i="16" l="1"/>
  <c r="D95" i="13"/>
  <c r="E95" i="13" s="1"/>
  <c r="E22" i="13"/>
  <c r="D97" i="13" l="1"/>
  <c r="E97" i="13" s="1"/>
</calcChain>
</file>

<file path=xl/sharedStrings.xml><?xml version="1.0" encoding="utf-8"?>
<sst xmlns="http://schemas.openxmlformats.org/spreadsheetml/2006/main" count="168" uniqueCount="118">
  <si>
    <t>§</t>
  </si>
  <si>
    <t>2</t>
  </si>
  <si>
    <t>ПРИХОДИ И ДОХОДИ ОТ СОБСТВЕНОСТ</t>
  </si>
  <si>
    <t>ОБЩИНСKИ ТАKСИ</t>
  </si>
  <si>
    <t>ДРУГИ НЕДАНЪЧНИ ПРИХОДИ</t>
  </si>
  <si>
    <t>ПРИХОДИ ОТ KОНЦЕСИИ</t>
  </si>
  <si>
    <t xml:space="preserve"> ОБЩО ПРИХОДИ:</t>
  </si>
  <si>
    <t>НАИМЕНОВАНИЕ</t>
  </si>
  <si>
    <t>ОБЩИ ДЪРЖАВНИ СЛУЖБИ</t>
  </si>
  <si>
    <t>ОТБРАНА И СИГУРНОСТ</t>
  </si>
  <si>
    <t>ОБРАЗОВАНИЕ</t>
  </si>
  <si>
    <t>ЗДРАВЕОПАЗВАНЕ</t>
  </si>
  <si>
    <t>ВСИЧКО ЗА БЮДЖЕТА</t>
  </si>
  <si>
    <t>І. Приходи за делегирани от държавата дейности</t>
  </si>
  <si>
    <t>СОЦИАЛНО ОСИГУРЯВАНЕ, ПОДПОМАГАНЕ И ГРИЖИ</t>
  </si>
  <si>
    <t>ЖИЛИЩНО СТРОИТЕЛСТВО, БЛАГОУСТРОЙСТВО, КОМУНАЛНО СТОПАНСТВО И ОПАЗВАНЕ НА ОКОЛН. СРЕДА</t>
  </si>
  <si>
    <t>ИКОНОМИЧЕСКИ ДЕЙНОСТИ И УСЛУГИ</t>
  </si>
  <si>
    <t>РАЗХОДИ НЕКЛАСИФИЦИРАНИ В ДРУГИ ФУНКЦИИ</t>
  </si>
  <si>
    <t>Всичко</t>
  </si>
  <si>
    <t>ЛИХВИ</t>
  </si>
  <si>
    <t>ПОМОЩИ И ОБЕЗЩЕТЕНИЯ</t>
  </si>
  <si>
    <t>КАПИТАЛОВИ РАЗХОДИ</t>
  </si>
  <si>
    <t>ТЕКУЩИ СУБСИДИИ</t>
  </si>
  <si>
    <t xml:space="preserve"> IV. БЮДЖЕТНИ ВЗАИМООТНОШЕНИЯ </t>
  </si>
  <si>
    <t>ТРАНСФЕРИ М/У  БЮДЖЕТА НА БЮДЖЕТНАТА ОРГАНИЗАЦИЯ И ЦБ (НЕТО)</t>
  </si>
  <si>
    <t>ПОЛУЧЕНИ ОТ ОБЩИНИ ЦЕЛЕВИ СУБСИДИЯ ОТ ЦБ ЗА КАПИТАЛОВИ РАЗХОДИ (+)</t>
  </si>
  <si>
    <t xml:space="preserve"> V. ФИНАНСИРАНЕ НА БЮДЖЕТНОТО САЛДО</t>
  </si>
  <si>
    <t>ПРЕДОСТАВЕНИ ТРАНСФЕРИ (-)</t>
  </si>
  <si>
    <t>І ПРИХОДИ, ПОМОЩИ И ДАРЕНИЯ</t>
  </si>
  <si>
    <t>ИМУЩЕСТВЕНИ И ДРУГИ МЕСТНИ ДАНЪЦИ</t>
  </si>
  <si>
    <t>ТУРИСТИЧЕСКИ ДАНЪК</t>
  </si>
  <si>
    <t>ПРИХОДИ ОТ НАЕМИ НА  ИМУЩЕСТВО</t>
  </si>
  <si>
    <t>ПРИХОДИ ОТ НАЕМИ НА ЗЕМЯ</t>
  </si>
  <si>
    <t>ПРИХОДИ ОТ ДИВИДЕНТИ</t>
  </si>
  <si>
    <t>ЗА БИТОВИ ОТПАДЪЦИ</t>
  </si>
  <si>
    <t>ЗА ТЕХНИЧЕСKИ УСЛУГИ</t>
  </si>
  <si>
    <t>ЗА АДМИНИСТРАТИВНИ УСЛУГИ</t>
  </si>
  <si>
    <t xml:space="preserve">ЗА ОТКУПУВАНЕ НА ГРОБНИ МЕСТА </t>
  </si>
  <si>
    <t>ЗА ПРИТЕЖАВАНЕ НА КУЧЕ</t>
  </si>
  <si>
    <t>ДРУГИ ОБЩИНСКИ ТАKСИ</t>
  </si>
  <si>
    <t>ВНЕСЕН ДДС(-)</t>
  </si>
  <si>
    <t xml:space="preserve">ІІІ. ОПЕРАЦИИ С НЕФИНАНСОВИ АКТИВИ </t>
  </si>
  <si>
    <t>ВСИЧКО ПРИХОДИ:</t>
  </si>
  <si>
    <t>І I I . РАЗХОДИ ПО ФУНКЦИИ</t>
  </si>
  <si>
    <t>І V . РАЗХОДИ - ФУНКЦИОНАЛЕН РАЗРЕЗ</t>
  </si>
  <si>
    <t>V. КАПИТАЛОВИ РАЗХОДИ - БЮДЖЕТ</t>
  </si>
  <si>
    <t>ПОМОЩИ И ДАРЕНИЯ ОТ СТРАНАТА</t>
  </si>
  <si>
    <t>ПОСТЪПЛЕНИЯ ОТ ПРОДАЖБА НА  СГРАДИ</t>
  </si>
  <si>
    <t>ПОСТЪПЛЕНИЯ ОТ ПРОДАЖБА НА  ЗЕМЯ</t>
  </si>
  <si>
    <t>ПРЕДОСТАВЕНА ВЪЗМЕЗДНА ФИНАНСОВА ПОМОЩ (НЕТО)</t>
  </si>
  <si>
    <t>ОБЩА СУБСИДИЯ И ДРУГИ ТРАНСФЕРИ ЗА ДЪРЖАВНИ ДЕЙНОСТИ ОТ ЦБ ЗА ОБЩИНИ (+)</t>
  </si>
  <si>
    <t>ДАНЪK ВЪРХУ ПРЕВОЗНИТЕ  СРЕДСТВА</t>
  </si>
  <si>
    <t>ДАНЪK ПРИ ПРИДОБИВАНЕ НА ИМУЩЕСТВО ПО ДАРЕНИЕ И ВЪЗМЕЗДЕН НАЧИН</t>
  </si>
  <si>
    <t>НЕТНИ ПРИХОДИ ОТ ПРОДАЖБА  НА УСЛУГИ, СТОKИ И ПРОДУКЦИЯ</t>
  </si>
  <si>
    <t>ЗА ПОЛЗВАНЕ НА ДЕТСКИ ГРАДИНИ</t>
  </si>
  <si>
    <t>ЗА ПОЛЗВАНЕ НА ДОМАШЕН СОЦИАЛЕН ПАТРОНАЖ И ДРУГИ ОБЩИНСКИ СОЦИАЛНИ УСЛУГИ</t>
  </si>
  <si>
    <t>ЗА ПОЛЗВАНЕ НА ПОЛУДНЕВНИ ДЕТСКИ ГРАДИНИ</t>
  </si>
  <si>
    <t>ГЛОБИ, САНKЦИИ И НАKАЗАТЕЛНИ ЛИХВИ</t>
  </si>
  <si>
    <t>ПОЛУЧЕНИ ДРУГИ ЗАСТРАХОВАТЕЛНИ ОБЕЗЩЕТЕНИЯ</t>
  </si>
  <si>
    <t xml:space="preserve"> ВНЕСЕН ДДС И ДРУГИ ДАНЪЦИ ВЪРХУ ПРОДАЖБИТЕ(НЕТО)</t>
  </si>
  <si>
    <t>ВНЕСЕН ДАНЪК В/У ПРИХОДИТЕ ОТ СТОПАНСКА  ДЕЙНОСТ НА БЮДЖЕТНИ ПРЕДПРИЯТИЯ (-)</t>
  </si>
  <si>
    <t>ОБЩА ИЗРАВНИТЕЛНА СУБСИДИЯ И ДРУГИ ТРАНСФЕРИ ЗА МД ОТ ЦБ ЗА ОБЩИНИ (+)</t>
  </si>
  <si>
    <t>ТРАНСФЕРИ МЕЖДУ  БЮДЖЕТИ (НЕТО)</t>
  </si>
  <si>
    <t>ТРАНСФЕРИ МЕЖДУ БЮДЖЕТИ - ПРЕДОСТАВЕНИ ТРАНСФЕРИ (-)</t>
  </si>
  <si>
    <t>ТРАНСФЕРИ МЕЖДУ БЮДЖЕТИ И ССЕС</t>
  </si>
  <si>
    <t>ВРЕМЕННИ БЕЗЛИХВЕНИ ЗАЕМИ МЕЖДУ  БЮДЖЕТИ И ССЕС (НЕТО)</t>
  </si>
  <si>
    <t>ДРУГО ФИНАНСИРАНЕ - ОПЕРАЦИИ С АКТИВИ - ПРЕДОСТАВЕНИ ВРЕМЕННИ ДЕПОЗИТИ И ГАРАНЦИИ НА ДРУГИ БЮДЖЕТНИ ОРГАНИЗАЦИИ (-/+)</t>
  </si>
  <si>
    <t>-</t>
  </si>
  <si>
    <t>ІI. Общински приходи</t>
  </si>
  <si>
    <t>%           4/3</t>
  </si>
  <si>
    <t>КУЛТУРА, СПОРТ, ПОЧИВНИ ДЕЙНОСТИ И РЕЛИГИОЗНО ДЕЛО</t>
  </si>
  <si>
    <t>Местни дейности и дофинансира-ни делегирани от държавата дейности</t>
  </si>
  <si>
    <t xml:space="preserve">ВЪЗСТАНОВЕНИ ТРАНСФЕРИ ЗА ЦБ </t>
  </si>
  <si>
    <t>ПОЛУЧЕНИ ТРАНСФЕРИ (+)</t>
  </si>
  <si>
    <t>ВРЕМЕННИ БЕЗЛИХВЕНИ ЗАЕМИ МЕЖДУ БЮДЖЕТИ И ССЕС (НЕТО)</t>
  </si>
  <si>
    <t>ОСТАТЪK В ЛЕВОВЕ ПО СМЕТKИ ОТ ПРЕДХОДНИЯ ПЕРИОД (+)</t>
  </si>
  <si>
    <t>В Т.Ч. ДЗЗД "ФОНД ЗА УСТОЙЧИВИ ГРАДОВЕ" (+)</t>
  </si>
  <si>
    <t>В Т.Ч. ФОНД ЗА ОРГАНИТЕ ЗА МЕСТНО САМОУПРАВЛЕНИЕ-"ФЛАГ" ЕАД (-)</t>
  </si>
  <si>
    <t>СЪБРАНИ СРЕДСТВА И ИЗВЪРШЕНИ ПЛАЩАНИЯ ЗА СМЕТКА НА ДРУГИ БЮДЖЕТИ, СМЕТКИ И ФОНДОВЕ - НЕТО (+/-)</t>
  </si>
  <si>
    <t>ДЕПОЗИТИ И СРЕДСТВА ПО СМЕТKИ (НЕТО) (+/-)</t>
  </si>
  <si>
    <t>Делегирани от държавата дейности</t>
  </si>
  <si>
    <t>Местни дейности и дофинансирани делегирани от държавата дейности</t>
  </si>
  <si>
    <t>ИЗМЕНЕ-НИЕ к.7 / к.4</t>
  </si>
  <si>
    <t>ИЗМЕНЕ-НИЕ к.7/к.4</t>
  </si>
  <si>
    <t>ИЗДРЪЖКА *</t>
  </si>
  <si>
    <t xml:space="preserve">ЗАПЛАТИ И ВЪЗНАГРАЖДЕНИЯ* </t>
  </si>
  <si>
    <t xml:space="preserve">ОСИГУРИТЕЛНИ ВНОСКИ* </t>
  </si>
  <si>
    <t>БЮДЖЕТ 2022 г. - НАЧАЛЕН</t>
  </si>
  <si>
    <t>ПРОЕКТ ЗА БЮДЖЕТ 2023 г.</t>
  </si>
  <si>
    <t>БЮДЖЕТ 2023 г.</t>
  </si>
  <si>
    <t xml:space="preserve"> ПРОЕКТ ЗА БЮДЖЕТ 2023 г.</t>
  </si>
  <si>
    <t>ДЕПОЗИТИ И СРЕДСТВА ПО СМЕТKИ - НЕТО (+/-)</t>
  </si>
  <si>
    <t>ПАТЕНТЕН ДАНЪК И ДАНЪК ВЪРХУ ТАКСИМЕТРОВ ПРЕВОЗ НА ПЪТНИЦИ</t>
  </si>
  <si>
    <t>ДАНЪK ВЪРХУ НЕДВИЖИМИТЕ ИМОТИ</t>
  </si>
  <si>
    <t>ПРИХОДИ ОТ ЛИХВИ ПО ТЕKУЩИ БАНKОВИ СМЕТKИ</t>
  </si>
  <si>
    <t>ЗА ПОЛЗВАНЕ НА ДЕТСКИ КУХНИ</t>
  </si>
  <si>
    <t>ЗА ПОЛЗВАНЕ НА ПАЗАРИ, ТЪРЖИЩА, ПАНАИРИ, ТРОТОАРИ, УЛИЧНИ  ПЛАТНА И ДРУГИ</t>
  </si>
  <si>
    <t>ГЛОБИ, САНKЦИИ, НЕУСТОЙКИ, НАKАЗАТЕЛНИ ЛИХВИ, ОБЕЗЩЕТЕНИЯ И НАЧЕТИ</t>
  </si>
  <si>
    <t>НАKАЗАТЕЛНИ ЛИХВИ ЗА ДАНЪЦИ, МИТА И ОСИГУРИТЕЛНИ ВНОСКИ</t>
  </si>
  <si>
    <t>ДРУГИ  ПРИХОДИ</t>
  </si>
  <si>
    <t>ПОСТЪПЛЕНИЯ ОТ ПРОДАЖБА НА  НДА</t>
  </si>
  <si>
    <t>ВРЕМЕННИ БЕЗЛИХВЕНИ ЗАЕМИ ОТ/ЗА СМЕТКИ ЗА ЧУЖДИ СРЕДСТВА (НЕТО)</t>
  </si>
  <si>
    <t>ПОГАШЕНИЯ ПО ДЪЛГОСРОЧНИ ЗАЕМИ ОТ ДРУГИ ЛИЦА В СТРАНАТА  (-)</t>
  </si>
  <si>
    <t>ПОЛУЧЕНИ  ДЪЛГОСРОЧНИ  ЗАЕМИ ОТ ДРУГИ ЛИЦА В СТРАНАТА (+)</t>
  </si>
  <si>
    <t>ПОГАШЕНИЯ ПО ЦЕЛЕВИ ЕМИСИИ НА ДЪЛГОСРОЧНИ ДЪРЖАВНИ (ОБЩИНСКИ) ЦЕННИ КНИЖА (-)</t>
  </si>
  <si>
    <t>ЧУЖДИ СРЕДСТВА ОТ ДРУГИ ЛИЦА (+/-)</t>
  </si>
  <si>
    <t>-ОСТАТЪK В ЛЕВОВА РАВНОСТОЙНОСТ ПО ВАЛУТНИ СМЕТKИ  ОТ ПРЕДХОДНИЯ ПЕРИОД (+)</t>
  </si>
  <si>
    <t>-ОСТАТЪK В ЛВ.ПО СМЕТKИ ОТ ПРЕДХОДНИЯ ПЕРИОД (+)</t>
  </si>
  <si>
    <t>ЖИЛИЩНО СТРОИТЕЛСТВО, БЛАГОУСТРОЙСТВО, КОМУНАЛНО СТОПАНСТВО И ОПАЗВАНЕ НА ОКОЛНАТА СРЕДА</t>
  </si>
  <si>
    <t>0103</t>
  </si>
  <si>
    <t>РЕАЛИЗИРАНИ КУРСОВИ РАЗЛИКИ ОТ ВАЛУТНИ ОПЕРАЦИИ (НЕТО) (+/-)</t>
  </si>
  <si>
    <t>ВЪЗСТАНОВЕНИ ТРАНСФЕРИ ЗА ЦБ (-)</t>
  </si>
  <si>
    <t>ПОЛУЧЕНИ ОТ ОБЩИНИ ТРАНСФЕРИ ЗА ДРУГИ ЦЕЛЕВИ РАЗХОДИ ОТ ЦБ ЧРЕЗ КОДОВЕТЕ В СЕБРА</t>
  </si>
  <si>
    <t>ПРИДОБИВАНЕ НА ДЯЛОВЕ АКЦИИ И СЪУЧАСТИЯ</t>
  </si>
  <si>
    <t>ПОЛУЧЕНИ ДЪЛГОСРОЧНИ ЗАЕМИ ОТ БАНКИ В СТРАНАТА(+)</t>
  </si>
  <si>
    <t>ПОГАШЕНИЯ ПО ДЪЛГОСРОЧНИ ЗАЕМИ ОТ БАНКИ В СТРАНАТА  (-)</t>
  </si>
  <si>
    <t>В Т.Ч. ФОНД ЗА ОРГАНИТЕ ЗА МЕСТНО САМОУПРАВЛЕНИЕ-"ФЛАГ" ЕАД (+)</t>
  </si>
  <si>
    <t>В Т.Ч. ДЗЗД "ФОНД ЗА УСТОЙЧИВИ ГРАДОВЕ" (-)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</si>
</sst>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"/>
  </numFmts>
  <fonts count="18">
    <font>
      <sz val="10"/>
      <name val="Arial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9"/>
      <name val="Arial"/>
      <family val="2"/>
      <charset val="204"/>
    </font>
    <font>
      <b/>
      <sz val="11"/>
      <name val="Arial"/>
      <family val="2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1"/>
      <name val="Arial"/>
      <family val="2"/>
      <charset val="204"/>
    </font>
    <font>
      <b/>
      <u/>
      <sz val="12"/>
      <name val="Arial"/>
      <family val="2"/>
      <charset val="204"/>
    </font>
    <font>
      <b/>
      <sz val="11"/>
      <name val="HebarU Cyr"/>
      <charset val="204"/>
    </font>
    <font>
      <sz val="11"/>
      <name val="Arial"/>
      <family val="2"/>
      <charset val="204"/>
    </font>
    <font>
      <b/>
      <sz val="18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HebarU Cyr"/>
      <charset val="204"/>
    </font>
    <font>
      <b/>
      <sz val="12"/>
      <name val="Arial"/>
      <family val="2"/>
      <charset val="204"/>
    </font>
    <font>
      <b/>
      <sz val="8"/>
      <name val="HebarU Cyr"/>
      <charset val="204"/>
    </font>
    <font>
      <b/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1" fontId="8" fillId="0" borderId="1" xfId="0" applyNumberFormat="1" applyFont="1" applyBorder="1"/>
    <xf numFmtId="0" fontId="9" fillId="0" borderId="0" xfId="0" applyFont="1" applyAlignment="1">
      <alignment horizontal="center"/>
    </xf>
    <xf numFmtId="0" fontId="4" fillId="0" borderId="1" xfId="0" applyFont="1" applyBorder="1"/>
    <xf numFmtId="1" fontId="4" fillId="0" borderId="1" xfId="0" applyNumberFormat="1" applyFont="1" applyBorder="1"/>
    <xf numFmtId="1" fontId="11" fillId="0" borderId="1" xfId="0" applyNumberFormat="1" applyFont="1" applyBorder="1"/>
    <xf numFmtId="0" fontId="12" fillId="0" borderId="0" xfId="0" applyFont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5" fillId="0" borderId="1" xfId="0" applyFont="1" applyBorder="1"/>
    <xf numFmtId="1" fontId="0" fillId="0" borderId="0" xfId="0" applyNumberFormat="1"/>
    <xf numFmtId="1" fontId="4" fillId="0" borderId="1" xfId="0" applyNumberFormat="1" applyFont="1" applyFill="1" applyBorder="1"/>
    <xf numFmtId="0" fontId="5" fillId="0" borderId="0" xfId="0" applyFont="1"/>
    <xf numFmtId="9" fontId="0" fillId="0" borderId="0" xfId="0" applyNumberFormat="1"/>
    <xf numFmtId="164" fontId="4" fillId="0" borderId="1" xfId="0" applyNumberFormat="1" applyFont="1" applyBorder="1" applyAlignment="1">
      <alignment horizontal="right"/>
    </xf>
    <xf numFmtId="0" fontId="1" fillId="0" borderId="0" xfId="0" applyFont="1"/>
    <xf numFmtId="3" fontId="4" fillId="0" borderId="1" xfId="0" applyNumberFormat="1" applyFont="1" applyBorder="1"/>
    <xf numFmtId="3" fontId="8" fillId="0" borderId="1" xfId="0" applyNumberFormat="1" applyFont="1" applyBorder="1"/>
    <xf numFmtId="3" fontId="15" fillId="0" borderId="1" xfId="0" applyNumberFormat="1" applyFont="1" applyBorder="1"/>
    <xf numFmtId="3" fontId="8" fillId="0" borderId="1" xfId="0" applyNumberFormat="1" applyFont="1" applyFill="1" applyBorder="1"/>
    <xf numFmtId="3" fontId="4" fillId="0" borderId="1" xfId="0" applyNumberFormat="1" applyFont="1" applyFill="1" applyBorder="1"/>
    <xf numFmtId="3" fontId="0" fillId="0" borderId="0" xfId="0" applyNumberFormat="1"/>
    <xf numFmtId="49" fontId="10" fillId="0" borderId="1" xfId="0" applyNumberFormat="1" applyFont="1" applyBorder="1" applyAlignment="1" applyProtection="1">
      <alignment horizontal="center"/>
      <protection locked="0"/>
    </xf>
    <xf numFmtId="1" fontId="4" fillId="0" borderId="1" xfId="0" applyNumberFormat="1" applyFont="1" applyBorder="1" applyAlignment="1">
      <alignment wrapText="1"/>
    </xf>
    <xf numFmtId="3" fontId="14" fillId="0" borderId="1" xfId="0" applyNumberFormat="1" applyFont="1" applyBorder="1" applyAlignment="1" applyProtection="1">
      <alignment horizontal="right"/>
      <protection locked="0"/>
    </xf>
    <xf numFmtId="1" fontId="3" fillId="0" borderId="1" xfId="0" applyNumberFormat="1" applyFont="1" applyBorder="1" applyAlignment="1">
      <alignment wrapText="1"/>
    </xf>
    <xf numFmtId="1" fontId="6" fillId="0" borderId="1" xfId="0" applyNumberFormat="1" applyFont="1" applyBorder="1" applyAlignment="1">
      <alignment wrapText="1"/>
    </xf>
    <xf numFmtId="0" fontId="10" fillId="0" borderId="1" xfId="0" applyFont="1" applyBorder="1" applyAlignment="1" applyProtection="1">
      <alignment horizontal="left" wrapText="1"/>
      <protection locked="0"/>
    </xf>
    <xf numFmtId="0" fontId="0" fillId="0" borderId="1" xfId="0" applyBorder="1"/>
    <xf numFmtId="0" fontId="4" fillId="2" borderId="1" xfId="0" applyFont="1" applyFill="1" applyBorder="1" applyAlignment="1">
      <alignment horizontal="center"/>
    </xf>
    <xf numFmtId="3" fontId="4" fillId="2" borderId="1" xfId="0" applyNumberFormat="1" applyFont="1" applyFill="1" applyBorder="1" applyAlignment="1">
      <alignment horizontal="right"/>
    </xf>
    <xf numFmtId="0" fontId="16" fillId="0" borderId="1" xfId="0" applyFont="1" applyBorder="1" applyAlignment="1" applyProtection="1">
      <alignment horizontal="center"/>
      <protection locked="0"/>
    </xf>
    <xf numFmtId="49" fontId="16" fillId="0" borderId="1" xfId="0" applyNumberFormat="1" applyFont="1" applyBorder="1" applyAlignment="1" applyProtection="1">
      <alignment horizontal="center"/>
      <protection locked="0"/>
    </xf>
    <xf numFmtId="3" fontId="14" fillId="0" borderId="1" xfId="0" applyNumberFormat="1" applyFont="1" applyFill="1" applyBorder="1" applyAlignment="1" applyProtection="1">
      <alignment horizontal="right"/>
      <protection locked="0"/>
    </xf>
    <xf numFmtId="3" fontId="11" fillId="0" borderId="1" xfId="0" applyNumberFormat="1" applyFont="1" applyFill="1" applyBorder="1"/>
    <xf numFmtId="3" fontId="15" fillId="0" borderId="1" xfId="0" applyNumberFormat="1" applyFont="1" applyFill="1" applyBorder="1"/>
    <xf numFmtId="1" fontId="8" fillId="0" borderId="1" xfId="0" applyNumberFormat="1" applyFont="1" applyFill="1" applyBorder="1"/>
    <xf numFmtId="3" fontId="4" fillId="3" borderId="1" xfId="0" applyNumberFormat="1" applyFont="1" applyFill="1" applyBorder="1"/>
    <xf numFmtId="0" fontId="10" fillId="0" borderId="5" xfId="0" applyFont="1" applyBorder="1" applyAlignment="1" applyProtection="1">
      <alignment horizontal="center"/>
      <protection locked="0"/>
    </xf>
    <xf numFmtId="1" fontId="1" fillId="0" borderId="1" xfId="0" applyNumberFormat="1" applyFont="1" applyBorder="1"/>
    <xf numFmtId="1" fontId="3" fillId="0" borderId="1" xfId="0" applyNumberFormat="1" applyFont="1" applyFill="1" applyBorder="1" applyAlignment="1">
      <alignment wrapText="1"/>
    </xf>
    <xf numFmtId="1" fontId="7" fillId="0" borderId="1" xfId="0" applyNumberFormat="1" applyFont="1" applyFill="1" applyBorder="1" applyAlignment="1">
      <alignment wrapText="1"/>
    </xf>
    <xf numFmtId="1" fontId="1" fillId="0" borderId="1" xfId="0" applyNumberFormat="1" applyFont="1" applyFill="1" applyBorder="1"/>
    <xf numFmtId="1" fontId="6" fillId="0" borderId="1" xfId="0" quotePrefix="1" applyNumberFormat="1" applyFont="1" applyFill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1" fontId="6" fillId="0" borderId="1" xfId="0" applyNumberFormat="1" applyFont="1" applyFill="1" applyBorder="1" applyAlignment="1">
      <alignment wrapText="1"/>
    </xf>
    <xf numFmtId="16" fontId="10" fillId="0" borderId="3" xfId="0" applyNumberFormat="1" applyFont="1" applyBorder="1" applyAlignment="1" applyProtection="1">
      <alignment horizontal="center" wrapText="1"/>
      <protection locked="0"/>
    </xf>
    <xf numFmtId="49" fontId="10" fillId="0" borderId="5" xfId="0" applyNumberFormat="1" applyFont="1" applyBorder="1" applyAlignment="1" applyProtection="1">
      <alignment horizontal="center" vertical="center"/>
      <protection locked="0"/>
    </xf>
    <xf numFmtId="16" fontId="10" fillId="0" borderId="5" xfId="0" applyNumberFormat="1" applyFont="1" applyBorder="1" applyAlignment="1" applyProtection="1">
      <alignment horizontal="center" wrapText="1"/>
      <protection locked="0"/>
    </xf>
    <xf numFmtId="0" fontId="2" fillId="0" borderId="1" xfId="0" applyFont="1" applyFill="1" applyBorder="1" applyAlignment="1">
      <alignment horizontal="center" wrapText="1"/>
    </xf>
    <xf numFmtId="164" fontId="2" fillId="0" borderId="1" xfId="0" applyNumberFormat="1" applyFont="1" applyBorder="1"/>
    <xf numFmtId="164" fontId="1" fillId="0" borderId="1" xfId="0" applyNumberFormat="1" applyFont="1" applyBorder="1"/>
    <xf numFmtId="164" fontId="1" fillId="0" borderId="1" xfId="0" applyNumberFormat="1" applyFont="1" applyBorder="1" applyAlignment="1">
      <alignment horizontal="center"/>
    </xf>
    <xf numFmtId="164" fontId="2" fillId="0" borderId="1" xfId="0" applyNumberFormat="1" applyFont="1" applyFill="1" applyBorder="1"/>
    <xf numFmtId="16" fontId="10" fillId="0" borderId="5" xfId="0" quotePrefix="1" applyNumberFormat="1" applyFont="1" applyFill="1" applyBorder="1" applyAlignment="1" applyProtection="1">
      <alignment horizontal="center" wrapText="1"/>
      <protection locked="0"/>
    </xf>
    <xf numFmtId="3" fontId="8" fillId="2" borderId="1" xfId="0" applyNumberFormat="1" applyFont="1" applyFill="1" applyBorder="1" applyAlignment="1">
      <alignment horizontal="right"/>
    </xf>
    <xf numFmtId="3" fontId="8" fillId="0" borderId="1" xfId="0" applyNumberFormat="1" applyFont="1" applyFill="1" applyBorder="1" applyAlignment="1">
      <alignment horizontal="right"/>
    </xf>
    <xf numFmtId="3" fontId="1" fillId="0" borderId="0" xfId="0" applyNumberFormat="1" applyFont="1"/>
    <xf numFmtId="3" fontId="1" fillId="2" borderId="0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left"/>
    </xf>
    <xf numFmtId="165" fontId="0" fillId="0" borderId="0" xfId="0" applyNumberFormat="1"/>
    <xf numFmtId="1" fontId="4" fillId="0" borderId="1" xfId="0" quotePrefix="1" applyNumberFormat="1" applyFont="1" applyBorder="1" applyAlignment="1">
      <alignment horizontal="right"/>
    </xf>
    <xf numFmtId="3" fontId="1" fillId="0" borderId="1" xfId="0" applyNumberFormat="1" applyFont="1" applyFill="1" applyBorder="1"/>
    <xf numFmtId="0" fontId="2" fillId="2" borderId="1" xfId="0" applyFont="1" applyFill="1" applyBorder="1" applyAlignment="1">
      <alignment horizontal="center" wrapText="1"/>
    </xf>
    <xf numFmtId="3" fontId="8" fillId="2" borderId="1" xfId="0" applyNumberFormat="1" applyFont="1" applyFill="1" applyBorder="1"/>
    <xf numFmtId="164" fontId="2" fillId="0" borderId="1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7" fillId="0" borderId="0" xfId="0" applyFont="1"/>
    <xf numFmtId="0" fontId="17" fillId="2" borderId="1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Border="1" applyAlignment="1">
      <alignment horizontal="center"/>
    </xf>
    <xf numFmtId="0" fontId="4" fillId="0" borderId="3" xfId="0" applyFont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center" wrapText="1"/>
    </xf>
    <xf numFmtId="0" fontId="2" fillId="0" borderId="5" xfId="0" applyFont="1" applyFill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4" fillId="0" borderId="5" xfId="0" applyFont="1" applyBorder="1" applyAlignment="1" applyProtection="1">
      <alignment horizontal="center" wrapText="1"/>
      <protection locked="0"/>
    </xf>
    <xf numFmtId="0" fontId="10" fillId="0" borderId="1" xfId="0" applyFont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wrapText="1"/>
    </xf>
  </cellXfs>
  <cellStyles count="1">
    <cellStyle name="Нормален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9"/>
  <sheetViews>
    <sheetView topLeftCell="A79" workbookViewId="0">
      <selection activeCell="D85" activeCellId="1" sqref="D81 D85"/>
    </sheetView>
  </sheetViews>
  <sheetFormatPr defaultRowHeight="12.75"/>
  <cols>
    <col min="1" max="1" width="54.140625" customWidth="1"/>
    <col min="2" max="2" width="6.28515625" customWidth="1"/>
    <col min="3" max="3" width="14.85546875" customWidth="1"/>
    <col min="4" max="4" width="14.140625" customWidth="1"/>
    <col min="5" max="5" width="9.28515625" customWidth="1"/>
  </cols>
  <sheetData>
    <row r="1" spans="1:5" ht="23.25">
      <c r="A1" s="72" t="s">
        <v>89</v>
      </c>
      <c r="B1" s="72"/>
      <c r="C1" s="72"/>
      <c r="D1" s="72"/>
      <c r="E1" s="72"/>
    </row>
    <row r="2" spans="1:5" ht="16.5" customHeight="1">
      <c r="A2" s="6"/>
      <c r="B2" s="6"/>
      <c r="C2" s="6"/>
      <c r="D2" s="6"/>
      <c r="E2" s="6"/>
    </row>
    <row r="3" spans="1:5" ht="23.25">
      <c r="A3" s="72" t="s">
        <v>13</v>
      </c>
      <c r="B3" s="72"/>
      <c r="C3" s="72"/>
      <c r="D3" s="72"/>
      <c r="E3" s="72"/>
    </row>
    <row r="4" spans="1:5" ht="18" customHeight="1">
      <c r="A4" s="2"/>
      <c r="B4" s="2"/>
      <c r="C4" s="2"/>
      <c r="D4" s="2"/>
      <c r="E4" s="2"/>
    </row>
    <row r="5" spans="1:5" ht="47.25" customHeight="1">
      <c r="A5" s="40" t="s">
        <v>7</v>
      </c>
      <c r="B5" s="50" t="s">
        <v>0</v>
      </c>
      <c r="C5" s="51" t="s">
        <v>87</v>
      </c>
      <c r="D5" s="49" t="s">
        <v>88</v>
      </c>
      <c r="E5" s="57" t="s">
        <v>69</v>
      </c>
    </row>
    <row r="6" spans="1:5" ht="12.75" customHeight="1">
      <c r="A6" s="33">
        <v>1</v>
      </c>
      <c r="B6" s="34" t="s">
        <v>1</v>
      </c>
      <c r="C6" s="33">
        <v>3</v>
      </c>
      <c r="D6" s="33">
        <v>4</v>
      </c>
      <c r="E6" s="33">
        <v>5</v>
      </c>
    </row>
    <row r="7" spans="1:5" ht="15.75">
      <c r="A7" s="25" t="s">
        <v>23</v>
      </c>
      <c r="B7" s="24"/>
      <c r="C7" s="26">
        <f>C8+C11</f>
        <v>85253718</v>
      </c>
      <c r="D7" s="26">
        <f>D8+D11</f>
        <v>105673993</v>
      </c>
      <c r="E7" s="53">
        <f>D7/C7</f>
        <v>1.2395235712769734</v>
      </c>
    </row>
    <row r="8" spans="1:5" ht="24.75">
      <c r="A8" s="27" t="s">
        <v>24</v>
      </c>
      <c r="B8" s="4">
        <v>3100</v>
      </c>
      <c r="C8" s="18">
        <f>SUM(C9:C10)</f>
        <v>85153372</v>
      </c>
      <c r="D8" s="18">
        <f>SUM(D9:D10)</f>
        <v>105590016</v>
      </c>
      <c r="E8" s="53">
        <f>D8/C8</f>
        <v>1.2399980590316493</v>
      </c>
    </row>
    <row r="9" spans="1:5" ht="25.5" customHeight="1">
      <c r="A9" s="28" t="s">
        <v>50</v>
      </c>
      <c r="B9" s="5">
        <v>3111</v>
      </c>
      <c r="C9" s="19">
        <v>85376815</v>
      </c>
      <c r="D9" s="19">
        <v>105718514</v>
      </c>
      <c r="E9" s="54">
        <f>D9/C9</f>
        <v>1.2382578806670173</v>
      </c>
    </row>
    <row r="10" spans="1:5" ht="17.25" customHeight="1">
      <c r="A10" s="48" t="s">
        <v>72</v>
      </c>
      <c r="B10" s="38">
        <v>3120</v>
      </c>
      <c r="C10" s="19">
        <v>-223443</v>
      </c>
      <c r="D10" s="19">
        <v>-128498</v>
      </c>
      <c r="E10" s="54">
        <f>D10/C10</f>
        <v>0.57508178819654232</v>
      </c>
    </row>
    <row r="11" spans="1:5" ht="24.75">
      <c r="A11" s="42" t="s">
        <v>74</v>
      </c>
      <c r="B11" s="13">
        <v>7600</v>
      </c>
      <c r="C11" s="18">
        <v>100346</v>
      </c>
      <c r="D11" s="39">
        <v>83977</v>
      </c>
      <c r="E11" s="53">
        <f t="shared" ref="E11:E14" si="0">D11/C11</f>
        <v>0.83687441452574096</v>
      </c>
    </row>
    <row r="12" spans="1:5" ht="17.25" customHeight="1">
      <c r="A12" s="25" t="s">
        <v>26</v>
      </c>
      <c r="B12" s="1"/>
      <c r="C12" s="18">
        <f t="shared" ref="C12:D13" si="1">C13</f>
        <v>17408697</v>
      </c>
      <c r="D12" s="18">
        <f t="shared" si="1"/>
        <v>16949446</v>
      </c>
      <c r="E12" s="53">
        <f t="shared" si="0"/>
        <v>0.97361945009439821</v>
      </c>
    </row>
    <row r="13" spans="1:5" ht="17.25" customHeight="1">
      <c r="A13" s="42" t="s">
        <v>91</v>
      </c>
      <c r="B13" s="13">
        <v>9500</v>
      </c>
      <c r="C13" s="18">
        <f t="shared" si="1"/>
        <v>17408697</v>
      </c>
      <c r="D13" s="18">
        <f t="shared" si="1"/>
        <v>16949446</v>
      </c>
      <c r="E13" s="53">
        <f t="shared" si="0"/>
        <v>0.97361945009439821</v>
      </c>
    </row>
    <row r="14" spans="1:5" ht="27" customHeight="1">
      <c r="A14" s="48" t="s">
        <v>75</v>
      </c>
      <c r="B14" s="38">
        <v>9501</v>
      </c>
      <c r="C14" s="19">
        <v>17408697</v>
      </c>
      <c r="D14" s="21">
        <v>16949446</v>
      </c>
      <c r="E14" s="54">
        <f t="shared" si="0"/>
        <v>0.97361945009439821</v>
      </c>
    </row>
    <row r="15" spans="1:5" ht="15.75">
      <c r="A15" s="25" t="s">
        <v>6</v>
      </c>
      <c r="B15" s="1"/>
      <c r="C15" s="20">
        <f>C7+C12</f>
        <v>102662415</v>
      </c>
      <c r="D15" s="20">
        <f>D7+D12</f>
        <v>122623439</v>
      </c>
      <c r="E15" s="53">
        <f>D15/C15</f>
        <v>1.1944336103918849</v>
      </c>
    </row>
    <row r="18" spans="1:6" ht="23.25">
      <c r="A18" s="72" t="s">
        <v>68</v>
      </c>
      <c r="B18" s="72"/>
      <c r="C18" s="72"/>
      <c r="D18" s="72"/>
      <c r="E18" s="72"/>
    </row>
    <row r="19" spans="1:6" ht="15.75">
      <c r="A19" s="2"/>
      <c r="B19" s="2"/>
      <c r="C19" s="2"/>
      <c r="D19" s="2"/>
      <c r="E19" s="2"/>
    </row>
    <row r="20" spans="1:6" ht="45" customHeight="1">
      <c r="A20" s="40" t="s">
        <v>7</v>
      </c>
      <c r="B20" s="50" t="s">
        <v>0</v>
      </c>
      <c r="C20" s="51" t="s">
        <v>87</v>
      </c>
      <c r="D20" s="49" t="s">
        <v>88</v>
      </c>
      <c r="E20" s="57" t="s">
        <v>69</v>
      </c>
    </row>
    <row r="21" spans="1:6">
      <c r="A21" s="33">
        <v>1</v>
      </c>
      <c r="B21" s="34" t="s">
        <v>1</v>
      </c>
      <c r="C21" s="33">
        <v>3</v>
      </c>
      <c r="D21" s="33">
        <v>4</v>
      </c>
      <c r="E21" s="33">
        <v>5</v>
      </c>
      <c r="F21" s="14"/>
    </row>
    <row r="22" spans="1:6" ht="15.75">
      <c r="A22" s="29" t="s">
        <v>28</v>
      </c>
      <c r="B22" s="24"/>
      <c r="C22" s="35">
        <f>C23+C24+C29+C35+C47+C50+C54+C57+C58</f>
        <v>26461522</v>
      </c>
      <c r="D22" s="35">
        <f>D23+D24+D29+D35+D47+D50+D54+D57+D58</f>
        <v>30309656</v>
      </c>
      <c r="E22" s="53">
        <f t="shared" ref="E22:E69" si="2">D22/C22</f>
        <v>1.1454237590717571</v>
      </c>
      <c r="F22" s="15"/>
    </row>
    <row r="23" spans="1:6" ht="24.75">
      <c r="A23" s="27" t="s">
        <v>92</v>
      </c>
      <c r="B23" s="64" t="s">
        <v>109</v>
      </c>
      <c r="C23" s="22">
        <v>220000</v>
      </c>
      <c r="D23" s="22">
        <v>220000</v>
      </c>
      <c r="E23" s="53">
        <f t="shared" si="2"/>
        <v>1</v>
      </c>
      <c r="F23" s="15"/>
    </row>
    <row r="24" spans="1:6" ht="15">
      <c r="A24" s="27" t="s">
        <v>29</v>
      </c>
      <c r="B24" s="4">
        <v>1300</v>
      </c>
      <c r="C24" s="22">
        <f>SUM(C25:C28)</f>
        <v>15238000</v>
      </c>
      <c r="D24" s="22">
        <f>SUM(D25:D28)</f>
        <v>16440000</v>
      </c>
      <c r="E24" s="53">
        <f t="shared" si="2"/>
        <v>1.0788817430108939</v>
      </c>
      <c r="F24" s="15"/>
    </row>
    <row r="25" spans="1:6" ht="14.25">
      <c r="A25" s="28" t="s">
        <v>93</v>
      </c>
      <c r="B25" s="1">
        <v>1301</v>
      </c>
      <c r="C25" s="21">
        <v>6500000</v>
      </c>
      <c r="D25" s="21">
        <v>6500000</v>
      </c>
      <c r="E25" s="54">
        <f t="shared" si="2"/>
        <v>1</v>
      </c>
      <c r="F25" s="15"/>
    </row>
    <row r="26" spans="1:6" ht="14.25">
      <c r="A26" s="28" t="s">
        <v>51</v>
      </c>
      <c r="B26" s="1">
        <v>1303</v>
      </c>
      <c r="C26" s="21">
        <v>5500000</v>
      </c>
      <c r="D26" s="21">
        <v>5900000</v>
      </c>
      <c r="E26" s="54">
        <f t="shared" si="2"/>
        <v>1.0727272727272728</v>
      </c>
      <c r="F26" s="15"/>
    </row>
    <row r="27" spans="1:6" ht="24">
      <c r="A27" s="28" t="s">
        <v>52</v>
      </c>
      <c r="B27" s="1">
        <v>1304</v>
      </c>
      <c r="C27" s="21">
        <v>3200000</v>
      </c>
      <c r="D27" s="21">
        <v>4000000</v>
      </c>
      <c r="E27" s="54">
        <f t="shared" si="2"/>
        <v>1.25</v>
      </c>
      <c r="F27" s="15"/>
    </row>
    <row r="28" spans="1:6" ht="14.25">
      <c r="A28" s="28" t="s">
        <v>30</v>
      </c>
      <c r="B28" s="1">
        <v>1308</v>
      </c>
      <c r="C28" s="21">
        <v>38000</v>
      </c>
      <c r="D28" s="21">
        <v>40000</v>
      </c>
      <c r="E28" s="54">
        <f t="shared" si="2"/>
        <v>1.0526315789473684</v>
      </c>
      <c r="F28" s="15"/>
    </row>
    <row r="29" spans="1:6" ht="15">
      <c r="A29" s="27" t="s">
        <v>2</v>
      </c>
      <c r="B29" s="4">
        <v>2400</v>
      </c>
      <c r="C29" s="22">
        <f>SUM(C30:C34)</f>
        <v>4244976</v>
      </c>
      <c r="D29" s="22">
        <f>SUM(D30:D34)</f>
        <v>4923538</v>
      </c>
      <c r="E29" s="53">
        <f t="shared" si="2"/>
        <v>1.1598506092849523</v>
      </c>
    </row>
    <row r="30" spans="1:6" ht="24">
      <c r="A30" s="28" t="s">
        <v>53</v>
      </c>
      <c r="B30" s="1">
        <v>2404</v>
      </c>
      <c r="C30" s="21">
        <v>2064110</v>
      </c>
      <c r="D30" s="21">
        <v>2319801</v>
      </c>
      <c r="E30" s="54">
        <f t="shared" si="2"/>
        <v>1.1238746966004718</v>
      </c>
    </row>
    <row r="31" spans="1:6" ht="14.25">
      <c r="A31" s="28" t="s">
        <v>31</v>
      </c>
      <c r="B31" s="1">
        <v>2405</v>
      </c>
      <c r="C31" s="21">
        <v>1506161</v>
      </c>
      <c r="D31" s="21">
        <v>1623738</v>
      </c>
      <c r="E31" s="54">
        <f t="shared" si="2"/>
        <v>1.0780640316672654</v>
      </c>
    </row>
    <row r="32" spans="1:6" ht="14.25">
      <c r="A32" s="28" t="s">
        <v>32</v>
      </c>
      <c r="B32" s="1">
        <v>2406</v>
      </c>
      <c r="C32" s="21">
        <v>594705</v>
      </c>
      <c r="D32" s="21">
        <v>683259</v>
      </c>
      <c r="E32" s="54">
        <f t="shared" si="2"/>
        <v>1.148904078492698</v>
      </c>
    </row>
    <row r="33" spans="1:5" ht="14.25">
      <c r="A33" s="28" t="s">
        <v>33</v>
      </c>
      <c r="B33" s="1">
        <v>2407</v>
      </c>
      <c r="C33" s="21">
        <v>77000</v>
      </c>
      <c r="D33" s="21">
        <v>293740</v>
      </c>
      <c r="E33" s="54">
        <f t="shared" si="2"/>
        <v>3.8148051948051949</v>
      </c>
    </row>
    <row r="34" spans="1:5" ht="14.25">
      <c r="A34" s="28" t="s">
        <v>94</v>
      </c>
      <c r="B34" s="1">
        <v>2408</v>
      </c>
      <c r="C34" s="21">
        <v>3000</v>
      </c>
      <c r="D34" s="21">
        <v>3000</v>
      </c>
      <c r="E34" s="54">
        <f t="shared" si="2"/>
        <v>1</v>
      </c>
    </row>
    <row r="35" spans="1:5" ht="15">
      <c r="A35" s="27" t="s">
        <v>3</v>
      </c>
      <c r="B35" s="4">
        <v>2700</v>
      </c>
      <c r="C35" s="22">
        <f>SUM(C36:C46)</f>
        <v>8176720</v>
      </c>
      <c r="D35" s="22">
        <f>SUM(D36:D46)</f>
        <v>8813150</v>
      </c>
      <c r="E35" s="53">
        <f t="shared" si="2"/>
        <v>1.0778343883611032</v>
      </c>
    </row>
    <row r="36" spans="1:5" ht="14.25">
      <c r="A36" s="28" t="s">
        <v>54</v>
      </c>
      <c r="B36" s="1">
        <v>2701</v>
      </c>
      <c r="C36" s="21">
        <v>188350</v>
      </c>
      <c r="D36" s="21">
        <v>0</v>
      </c>
      <c r="E36" s="54">
        <f t="shared" si="2"/>
        <v>0</v>
      </c>
    </row>
    <row r="37" spans="1:5" ht="14.25">
      <c r="A37" s="28" t="s">
        <v>95</v>
      </c>
      <c r="B37" s="1">
        <v>2702</v>
      </c>
      <c r="C37" s="21">
        <v>48530</v>
      </c>
      <c r="D37" s="21">
        <v>50000</v>
      </c>
      <c r="E37" s="54">
        <f t="shared" si="2"/>
        <v>1.030290541932825</v>
      </c>
    </row>
    <row r="38" spans="1:5" ht="24">
      <c r="A38" s="28" t="s">
        <v>55</v>
      </c>
      <c r="B38" s="1">
        <v>2704</v>
      </c>
      <c r="C38" s="21">
        <v>250000</v>
      </c>
      <c r="D38" s="21">
        <v>420000</v>
      </c>
      <c r="E38" s="54">
        <f t="shared" si="2"/>
        <v>1.68</v>
      </c>
    </row>
    <row r="39" spans="1:5" ht="24">
      <c r="A39" s="28" t="s">
        <v>96</v>
      </c>
      <c r="B39" s="1">
        <v>2705</v>
      </c>
      <c r="C39" s="21">
        <v>311000</v>
      </c>
      <c r="D39" s="21">
        <v>371000</v>
      </c>
      <c r="E39" s="54">
        <f t="shared" si="2"/>
        <v>1.1929260450160772</v>
      </c>
    </row>
    <row r="40" spans="1:5" ht="14.25">
      <c r="A40" s="28" t="s">
        <v>56</v>
      </c>
      <c r="B40" s="1">
        <v>2706</v>
      </c>
      <c r="C40" s="21">
        <v>500</v>
      </c>
      <c r="D40" s="21">
        <v>0</v>
      </c>
      <c r="E40" s="54">
        <f t="shared" si="2"/>
        <v>0</v>
      </c>
    </row>
    <row r="41" spans="1:5" ht="14.25">
      <c r="A41" s="28" t="s">
        <v>34</v>
      </c>
      <c r="B41" s="1">
        <v>2707</v>
      </c>
      <c r="C41" s="21">
        <v>6500000</v>
      </c>
      <c r="D41" s="21">
        <v>7000000</v>
      </c>
      <c r="E41" s="54">
        <f t="shared" si="2"/>
        <v>1.0769230769230769</v>
      </c>
    </row>
    <row r="42" spans="1:5" ht="14.25">
      <c r="A42" s="28" t="s">
        <v>35</v>
      </c>
      <c r="B42" s="1">
        <v>2710</v>
      </c>
      <c r="C42" s="21">
        <v>250000</v>
      </c>
      <c r="D42" s="21">
        <v>350000</v>
      </c>
      <c r="E42" s="54">
        <f t="shared" si="2"/>
        <v>1.4</v>
      </c>
    </row>
    <row r="43" spans="1:5" ht="14.25">
      <c r="A43" s="28" t="s">
        <v>36</v>
      </c>
      <c r="B43" s="1">
        <v>2711</v>
      </c>
      <c r="C43" s="21">
        <v>397640</v>
      </c>
      <c r="D43" s="21">
        <v>413450</v>
      </c>
      <c r="E43" s="54">
        <f t="shared" si="2"/>
        <v>1.0397595815310332</v>
      </c>
    </row>
    <row r="44" spans="1:5" ht="14.25">
      <c r="A44" s="28" t="s">
        <v>37</v>
      </c>
      <c r="B44" s="1">
        <v>2715</v>
      </c>
      <c r="C44" s="21">
        <v>100000</v>
      </c>
      <c r="D44" s="21">
        <v>74500</v>
      </c>
      <c r="E44" s="54">
        <f t="shared" si="2"/>
        <v>0.745</v>
      </c>
    </row>
    <row r="45" spans="1:5" ht="14.25">
      <c r="A45" s="28" t="s">
        <v>38</v>
      </c>
      <c r="B45" s="1">
        <v>2717</v>
      </c>
      <c r="C45" s="21">
        <v>8000</v>
      </c>
      <c r="D45" s="21">
        <v>8000</v>
      </c>
      <c r="E45" s="54">
        <f t="shared" si="2"/>
        <v>1</v>
      </c>
    </row>
    <row r="46" spans="1:5" ht="14.25">
      <c r="A46" s="28" t="s">
        <v>39</v>
      </c>
      <c r="B46" s="1">
        <v>2729</v>
      </c>
      <c r="C46" s="21">
        <v>122700</v>
      </c>
      <c r="D46" s="21">
        <v>126200</v>
      </c>
      <c r="E46" s="54">
        <f t="shared" si="2"/>
        <v>1.0285248573757131</v>
      </c>
    </row>
    <row r="47" spans="1:5" ht="15">
      <c r="A47" s="27" t="s">
        <v>57</v>
      </c>
      <c r="B47" s="4">
        <v>2800</v>
      </c>
      <c r="C47" s="22">
        <f>SUM(C48:C49)</f>
        <v>800000</v>
      </c>
      <c r="D47" s="22">
        <f>SUM(D48:D49)</f>
        <v>760000</v>
      </c>
      <c r="E47" s="53">
        <f t="shared" si="2"/>
        <v>0.95</v>
      </c>
    </row>
    <row r="48" spans="1:5" ht="24">
      <c r="A48" s="28" t="s">
        <v>97</v>
      </c>
      <c r="B48" s="1">
        <v>2802</v>
      </c>
      <c r="C48" s="21">
        <v>100000</v>
      </c>
      <c r="D48" s="21">
        <v>100000</v>
      </c>
      <c r="E48" s="54">
        <f t="shared" si="2"/>
        <v>1</v>
      </c>
    </row>
    <row r="49" spans="1:5" ht="24">
      <c r="A49" s="28" t="s">
        <v>98</v>
      </c>
      <c r="B49" s="1">
        <v>2809</v>
      </c>
      <c r="C49" s="21">
        <v>700000</v>
      </c>
      <c r="D49" s="21">
        <v>660000</v>
      </c>
      <c r="E49" s="54">
        <f t="shared" si="2"/>
        <v>0.94285714285714284</v>
      </c>
    </row>
    <row r="50" spans="1:5" ht="15">
      <c r="A50" s="27" t="s">
        <v>99</v>
      </c>
      <c r="B50" s="4">
        <v>3600</v>
      </c>
      <c r="C50" s="22">
        <f>SUM(C51:C53)</f>
        <v>2369</v>
      </c>
      <c r="D50" s="22">
        <f>SUM(D51:D53)</f>
        <v>186894</v>
      </c>
      <c r="E50" s="53">
        <f t="shared" si="2"/>
        <v>78.891515407344869</v>
      </c>
    </row>
    <row r="51" spans="1:5" ht="24">
      <c r="A51" s="28" t="s">
        <v>110</v>
      </c>
      <c r="B51" s="1">
        <v>3601</v>
      </c>
      <c r="C51" s="21">
        <v>0</v>
      </c>
      <c r="D51" s="21">
        <v>-289</v>
      </c>
      <c r="E51" s="53"/>
    </row>
    <row r="52" spans="1:5" ht="14.25">
      <c r="A52" s="28" t="s">
        <v>58</v>
      </c>
      <c r="B52" s="1">
        <v>3612</v>
      </c>
      <c r="C52" s="21">
        <v>820</v>
      </c>
      <c r="D52" s="21">
        <v>22172</v>
      </c>
      <c r="E52" s="54">
        <f t="shared" si="2"/>
        <v>27.039024390243902</v>
      </c>
    </row>
    <row r="53" spans="1:5" ht="14.25">
      <c r="A53" s="28" t="s">
        <v>4</v>
      </c>
      <c r="B53" s="1">
        <v>3619</v>
      </c>
      <c r="C53" s="21">
        <v>1549</v>
      </c>
      <c r="D53" s="21">
        <v>165011</v>
      </c>
      <c r="E53" s="54">
        <f t="shared" si="2"/>
        <v>106.52743705616527</v>
      </c>
    </row>
    <row r="54" spans="1:5" ht="15">
      <c r="A54" s="27" t="s">
        <v>59</v>
      </c>
      <c r="B54" s="4">
        <v>3700</v>
      </c>
      <c r="C54" s="22">
        <f>SUM(C55:C56)</f>
        <v>-2414543</v>
      </c>
      <c r="D54" s="22">
        <f>SUM(D55:D56)</f>
        <v>-1181526</v>
      </c>
      <c r="E54" s="53">
        <f t="shared" si="2"/>
        <v>0.48933731973296812</v>
      </c>
    </row>
    <row r="55" spans="1:5" ht="14.25">
      <c r="A55" s="28" t="s">
        <v>40</v>
      </c>
      <c r="B55" s="5">
        <v>3701</v>
      </c>
      <c r="C55" s="36">
        <v>-2190009</v>
      </c>
      <c r="D55" s="36">
        <v>-967365</v>
      </c>
      <c r="E55" s="54">
        <f t="shared" si="2"/>
        <v>0.44171736280535834</v>
      </c>
    </row>
    <row r="56" spans="1:5" ht="25.5" customHeight="1">
      <c r="A56" s="28" t="s">
        <v>60</v>
      </c>
      <c r="B56" s="1">
        <v>3702</v>
      </c>
      <c r="C56" s="21">
        <v>-224534</v>
      </c>
      <c r="D56" s="21">
        <v>-214161</v>
      </c>
      <c r="E56" s="54">
        <f t="shared" si="2"/>
        <v>0.95380209678712358</v>
      </c>
    </row>
    <row r="57" spans="1:5" ht="15">
      <c r="A57" s="27" t="s">
        <v>5</v>
      </c>
      <c r="B57" s="4">
        <v>4100</v>
      </c>
      <c r="C57" s="22">
        <v>164000</v>
      </c>
      <c r="D57" s="22">
        <v>120000</v>
      </c>
      <c r="E57" s="53">
        <f t="shared" si="2"/>
        <v>0.73170731707317072</v>
      </c>
    </row>
    <row r="58" spans="1:5" ht="15">
      <c r="A58" s="27" t="s">
        <v>46</v>
      </c>
      <c r="B58" s="4">
        <v>4500</v>
      </c>
      <c r="C58" s="22">
        <v>30000</v>
      </c>
      <c r="D58" s="22">
        <v>27600</v>
      </c>
      <c r="E58" s="53">
        <f t="shared" si="2"/>
        <v>0.92</v>
      </c>
    </row>
    <row r="59" spans="1:5" ht="15.75">
      <c r="A59" s="25" t="s">
        <v>41</v>
      </c>
      <c r="B59" s="4"/>
      <c r="C59" s="37">
        <f>SUM(C60:C62)</f>
        <v>7475000</v>
      </c>
      <c r="D59" s="37">
        <f>SUM(D60:D62)</f>
        <v>6494055</v>
      </c>
      <c r="E59" s="53">
        <f t="shared" si="2"/>
        <v>0.86876989966555185</v>
      </c>
    </row>
    <row r="60" spans="1:5" ht="14.25">
      <c r="A60" s="28" t="s">
        <v>47</v>
      </c>
      <c r="B60" s="1">
        <v>4022</v>
      </c>
      <c r="C60" s="21">
        <v>495000</v>
      </c>
      <c r="D60" s="21">
        <v>847450</v>
      </c>
      <c r="E60" s="54">
        <f t="shared" si="2"/>
        <v>1.712020202020202</v>
      </c>
    </row>
    <row r="61" spans="1:5" ht="14.25">
      <c r="A61" s="28" t="s">
        <v>100</v>
      </c>
      <c r="B61" s="1">
        <v>4030</v>
      </c>
      <c r="C61" s="21">
        <v>5290000</v>
      </c>
      <c r="D61" s="21">
        <v>4544700</v>
      </c>
      <c r="E61" s="54">
        <f t="shared" si="2"/>
        <v>0.85911153119092631</v>
      </c>
    </row>
    <row r="62" spans="1:5" ht="14.25">
      <c r="A62" s="28" t="s">
        <v>48</v>
      </c>
      <c r="B62" s="1">
        <v>4040</v>
      </c>
      <c r="C62" s="21">
        <v>1690000</v>
      </c>
      <c r="D62" s="21">
        <v>1101905</v>
      </c>
      <c r="E62" s="54">
        <f t="shared" si="2"/>
        <v>0.65201479289940834</v>
      </c>
    </row>
    <row r="63" spans="1:5" ht="15.75">
      <c r="A63" s="25" t="s">
        <v>23</v>
      </c>
      <c r="B63" s="1"/>
      <c r="C63" s="37">
        <f>C64+C69+C72+C75+C76</f>
        <v>2398527</v>
      </c>
      <c r="D63" s="37">
        <f>D64+D69+D72+D75+D76</f>
        <v>2537711</v>
      </c>
      <c r="E63" s="53">
        <f t="shared" si="2"/>
        <v>1.058028948600537</v>
      </c>
    </row>
    <row r="64" spans="1:5" ht="24.75">
      <c r="A64" s="27" t="s">
        <v>24</v>
      </c>
      <c r="B64" s="4">
        <v>3100</v>
      </c>
      <c r="C64" s="22">
        <f>SUM(C65:C68)</f>
        <v>10695760</v>
      </c>
      <c r="D64" s="22">
        <f>SUM(D65:D68)</f>
        <v>13422300</v>
      </c>
      <c r="E64" s="53">
        <f t="shared" si="2"/>
        <v>1.2549178366006717</v>
      </c>
    </row>
    <row r="65" spans="1:5" ht="30" customHeight="1">
      <c r="A65" s="28" t="s">
        <v>61</v>
      </c>
      <c r="B65" s="1">
        <v>3112</v>
      </c>
      <c r="C65" s="21">
        <v>6891500</v>
      </c>
      <c r="D65" s="21">
        <v>7396400</v>
      </c>
      <c r="E65" s="54">
        <f t="shared" si="2"/>
        <v>1.0732641660015962</v>
      </c>
    </row>
    <row r="66" spans="1:5" ht="24">
      <c r="A66" s="28" t="s">
        <v>25</v>
      </c>
      <c r="B66" s="1">
        <v>3113</v>
      </c>
      <c r="C66" s="21">
        <v>3836700</v>
      </c>
      <c r="D66" s="21">
        <v>5597200</v>
      </c>
      <c r="E66" s="54">
        <f t="shared" si="2"/>
        <v>1.458857872650976</v>
      </c>
    </row>
    <row r="67" spans="1:5" ht="24">
      <c r="A67" s="28" t="s">
        <v>112</v>
      </c>
      <c r="B67" s="1">
        <v>3118</v>
      </c>
      <c r="C67" s="21">
        <v>0</v>
      </c>
      <c r="D67" s="21">
        <v>428700</v>
      </c>
      <c r="E67" s="55" t="s">
        <v>67</v>
      </c>
    </row>
    <row r="68" spans="1:5" ht="14.25">
      <c r="A68" s="28" t="s">
        <v>111</v>
      </c>
      <c r="B68" s="1">
        <v>3120</v>
      </c>
      <c r="C68" s="21">
        <v>-32440</v>
      </c>
      <c r="D68" s="21">
        <v>0</v>
      </c>
      <c r="E68" s="54">
        <f t="shared" si="2"/>
        <v>0</v>
      </c>
    </row>
    <row r="69" spans="1:5" ht="15">
      <c r="A69" s="27" t="s">
        <v>62</v>
      </c>
      <c r="B69" s="4">
        <v>6100</v>
      </c>
      <c r="C69" s="22">
        <f>SUM(C70:C71)</f>
        <v>-5115664</v>
      </c>
      <c r="D69" s="22">
        <f>SUM(D70:D71)</f>
        <v>-6028391</v>
      </c>
      <c r="E69" s="53">
        <f t="shared" si="2"/>
        <v>1.178418090007475</v>
      </c>
    </row>
    <row r="70" spans="1:5" ht="14.25">
      <c r="A70" s="28" t="s">
        <v>73</v>
      </c>
      <c r="B70" s="1">
        <v>6101</v>
      </c>
      <c r="C70" s="21">
        <v>119991</v>
      </c>
      <c r="D70" s="21">
        <v>0</v>
      </c>
      <c r="E70" s="55" t="s">
        <v>67</v>
      </c>
    </row>
    <row r="71" spans="1:5" ht="24">
      <c r="A71" s="28" t="s">
        <v>63</v>
      </c>
      <c r="B71" s="1">
        <v>6102</v>
      </c>
      <c r="C71" s="21">
        <v>-5235655</v>
      </c>
      <c r="D71" s="21">
        <v>-6028391</v>
      </c>
      <c r="E71" s="54">
        <f t="shared" ref="E71:E86" si="3">D71/C71</f>
        <v>1.1514110459913802</v>
      </c>
    </row>
    <row r="72" spans="1:5" ht="15">
      <c r="A72" s="27" t="s">
        <v>64</v>
      </c>
      <c r="B72" s="4">
        <v>6200</v>
      </c>
      <c r="C72" s="22">
        <f>SUM(C73:C74)</f>
        <v>-3152449</v>
      </c>
      <c r="D72" s="22">
        <f>SUM(D73:D74)</f>
        <v>-4213230</v>
      </c>
      <c r="E72" s="53">
        <f t="shared" si="3"/>
        <v>1.3364942620800526</v>
      </c>
    </row>
    <row r="73" spans="1:5" ht="14.25">
      <c r="A73" s="28" t="s">
        <v>73</v>
      </c>
      <c r="B73" s="1">
        <v>6201</v>
      </c>
      <c r="C73" s="21">
        <v>0</v>
      </c>
      <c r="D73" s="21">
        <v>212000</v>
      </c>
      <c r="E73" s="55" t="s">
        <v>67</v>
      </c>
    </row>
    <row r="74" spans="1:5" ht="14.25">
      <c r="A74" s="28" t="s">
        <v>27</v>
      </c>
      <c r="B74" s="1">
        <v>6202</v>
      </c>
      <c r="C74" s="21">
        <v>-3152449</v>
      </c>
      <c r="D74" s="21">
        <v>-4425230</v>
      </c>
      <c r="E74" s="54">
        <f t="shared" si="3"/>
        <v>1.4037435657166857</v>
      </c>
    </row>
    <row r="75" spans="1:5" ht="24.75">
      <c r="A75" s="27" t="s">
        <v>65</v>
      </c>
      <c r="B75" s="4">
        <v>7600</v>
      </c>
      <c r="C75" s="22">
        <v>-24595</v>
      </c>
      <c r="D75" s="22">
        <v>-642968</v>
      </c>
      <c r="E75" s="56">
        <f t="shared" si="3"/>
        <v>26.142224029274242</v>
      </c>
    </row>
    <row r="76" spans="1:5" ht="24.75">
      <c r="A76" s="27" t="s">
        <v>101</v>
      </c>
      <c r="B76" s="4">
        <v>7833</v>
      </c>
      <c r="C76" s="22">
        <v>-4525</v>
      </c>
      <c r="D76" s="22">
        <v>0</v>
      </c>
      <c r="E76" s="56">
        <f t="shared" si="3"/>
        <v>0</v>
      </c>
    </row>
    <row r="77" spans="1:5" ht="15.75">
      <c r="A77" s="25" t="s">
        <v>26</v>
      </c>
      <c r="B77" s="1"/>
      <c r="C77" s="37">
        <f>C79+C80+C81+C88+C90+C82+C85+C89+C91+C92+C78</f>
        <v>14934596</v>
      </c>
      <c r="D77" s="37">
        <f>D79+D80+D81+D88+D90+D82+D85+D89+D91+D92+D78</f>
        <v>26972540</v>
      </c>
      <c r="E77" s="53">
        <f t="shared" si="3"/>
        <v>1.8060441675154788</v>
      </c>
    </row>
    <row r="78" spans="1:5" ht="15.75">
      <c r="A78" s="27" t="s">
        <v>113</v>
      </c>
      <c r="B78" s="4">
        <v>7000</v>
      </c>
      <c r="C78" s="37">
        <v>0</v>
      </c>
      <c r="D78" s="22">
        <v>-100000</v>
      </c>
      <c r="E78" s="68" t="s">
        <v>67</v>
      </c>
    </row>
    <row r="79" spans="1:5" ht="15">
      <c r="A79" s="27" t="s">
        <v>49</v>
      </c>
      <c r="B79" s="4">
        <v>7200</v>
      </c>
      <c r="C79" s="22">
        <v>2520</v>
      </c>
      <c r="D79" s="22">
        <v>0</v>
      </c>
      <c r="E79" s="53">
        <f t="shared" si="3"/>
        <v>0</v>
      </c>
    </row>
    <row r="80" spans="1:5" ht="24.75" customHeight="1">
      <c r="A80" s="27" t="s">
        <v>114</v>
      </c>
      <c r="B80" s="4">
        <v>8312</v>
      </c>
      <c r="C80" s="22">
        <v>0</v>
      </c>
      <c r="D80" s="22">
        <v>1000188</v>
      </c>
      <c r="E80" s="68" t="s">
        <v>67</v>
      </c>
    </row>
    <row r="81" spans="1:5" ht="24.75">
      <c r="A81" s="42" t="s">
        <v>115</v>
      </c>
      <c r="B81" s="4">
        <v>8322</v>
      </c>
      <c r="C81" s="22">
        <v>0</v>
      </c>
      <c r="D81" s="22">
        <v>-51275</v>
      </c>
      <c r="E81" s="68" t="s">
        <v>67</v>
      </c>
    </row>
    <row r="82" spans="1:5" ht="24.75">
      <c r="A82" s="27" t="s">
        <v>103</v>
      </c>
      <c r="B82" s="4">
        <v>8372</v>
      </c>
      <c r="C82" s="22">
        <f>SUM(C84:C84)</f>
        <v>2494775</v>
      </c>
      <c r="D82" s="22">
        <v>2710349</v>
      </c>
      <c r="E82" s="53">
        <f t="shared" si="3"/>
        <v>1.086410197312383</v>
      </c>
    </row>
    <row r="83" spans="1:5" ht="22.5">
      <c r="A83" s="43" t="s">
        <v>116</v>
      </c>
      <c r="B83" s="41">
        <v>8379</v>
      </c>
      <c r="C83" s="65">
        <v>0</v>
      </c>
      <c r="D83" s="65">
        <v>1000000</v>
      </c>
      <c r="E83" s="68" t="s">
        <v>67</v>
      </c>
    </row>
    <row r="84" spans="1:5">
      <c r="A84" s="48" t="s">
        <v>76</v>
      </c>
      <c r="B84" s="41">
        <v>8380</v>
      </c>
      <c r="C84" s="65">
        <v>2494775</v>
      </c>
      <c r="D84" s="65">
        <v>1710349</v>
      </c>
      <c r="E84" s="53">
        <f t="shared" si="3"/>
        <v>0.68557244641300319</v>
      </c>
    </row>
    <row r="85" spans="1:5" ht="24.75">
      <c r="A85" s="42" t="s">
        <v>102</v>
      </c>
      <c r="B85" s="4">
        <v>8382</v>
      </c>
      <c r="C85" s="22">
        <v>-1273500</v>
      </c>
      <c r="D85" s="22">
        <v>-87675</v>
      </c>
      <c r="E85" s="53">
        <f t="shared" si="3"/>
        <v>6.8845700824499409E-2</v>
      </c>
    </row>
    <row r="86" spans="1:5" ht="22.5">
      <c r="A86" s="43" t="s">
        <v>77</v>
      </c>
      <c r="B86" s="44">
        <v>8387</v>
      </c>
      <c r="C86" s="65">
        <v>-1273500</v>
      </c>
      <c r="D86" s="65">
        <v>0</v>
      </c>
      <c r="E86" s="53">
        <f t="shared" si="3"/>
        <v>0</v>
      </c>
    </row>
    <row r="87" spans="1:5">
      <c r="A87" s="48" t="s">
        <v>117</v>
      </c>
      <c r="B87" s="44">
        <v>8390</v>
      </c>
      <c r="C87" s="65">
        <v>0</v>
      </c>
      <c r="D87" s="65">
        <v>-87675</v>
      </c>
      <c r="E87" s="55" t="s">
        <v>67</v>
      </c>
    </row>
    <row r="88" spans="1:5" ht="24.75">
      <c r="A88" s="27" t="s">
        <v>104</v>
      </c>
      <c r="B88" s="13">
        <v>8623</v>
      </c>
      <c r="C88" s="22">
        <v>-1950000</v>
      </c>
      <c r="D88" s="22">
        <v>-1950000</v>
      </c>
      <c r="E88" s="53">
        <f>D88/C88</f>
        <v>1</v>
      </c>
    </row>
    <row r="89" spans="1:5" ht="24.75">
      <c r="A89" s="27" t="s">
        <v>78</v>
      </c>
      <c r="B89" s="4">
        <v>8800</v>
      </c>
      <c r="C89" s="22">
        <v>-974820</v>
      </c>
      <c r="D89" s="22">
        <v>-671861</v>
      </c>
      <c r="E89" s="53">
        <f>D89/C89</f>
        <v>0.68921544490264874</v>
      </c>
    </row>
    <row r="90" spans="1:5" ht="36.75">
      <c r="A90" s="27" t="s">
        <v>66</v>
      </c>
      <c r="B90" s="4">
        <v>9336</v>
      </c>
      <c r="C90" s="22">
        <v>4330960</v>
      </c>
      <c r="D90" s="22">
        <v>6966880</v>
      </c>
      <c r="E90" s="53">
        <f>D90/C90</f>
        <v>1.6086225686683784</v>
      </c>
    </row>
    <row r="91" spans="1:5" ht="15">
      <c r="A91" s="42" t="s">
        <v>105</v>
      </c>
      <c r="B91" s="4">
        <v>9310</v>
      </c>
      <c r="C91" s="22">
        <v>-1381295</v>
      </c>
      <c r="D91" s="22">
        <v>-1532373</v>
      </c>
      <c r="E91" s="53">
        <f t="shared" ref="E91:E94" si="4">D91/C91</f>
        <v>1.1093741742350476</v>
      </c>
    </row>
    <row r="92" spans="1:5" ht="15">
      <c r="A92" s="42" t="s">
        <v>79</v>
      </c>
      <c r="B92" s="4">
        <v>9500</v>
      </c>
      <c r="C92" s="22">
        <f>SUM(C93:C94)</f>
        <v>13685956</v>
      </c>
      <c r="D92" s="22">
        <f>SUM(D93:D94)</f>
        <v>20688307</v>
      </c>
      <c r="E92" s="53">
        <f t="shared" si="4"/>
        <v>1.5116450030966051</v>
      </c>
    </row>
    <row r="93" spans="1:5" ht="14.25">
      <c r="A93" s="45" t="s">
        <v>107</v>
      </c>
      <c r="B93" s="41">
        <v>9501</v>
      </c>
      <c r="C93" s="21">
        <v>13543047</v>
      </c>
      <c r="D93" s="21">
        <v>20628974</v>
      </c>
      <c r="E93" s="54">
        <f t="shared" si="4"/>
        <v>1.5232151228597228</v>
      </c>
    </row>
    <row r="94" spans="1:5" ht="24">
      <c r="A94" s="45" t="s">
        <v>106</v>
      </c>
      <c r="B94" s="41">
        <v>9502</v>
      </c>
      <c r="C94" s="21">
        <v>142909</v>
      </c>
      <c r="D94" s="21">
        <v>59333</v>
      </c>
      <c r="E94" s="54">
        <f t="shared" si="4"/>
        <v>0.41518028955489156</v>
      </c>
    </row>
    <row r="95" spans="1:5" ht="15.75">
      <c r="A95" s="25" t="s">
        <v>6</v>
      </c>
      <c r="B95" s="1"/>
      <c r="C95" s="20">
        <f>SUM(C22+C59+C63+C77)</f>
        <v>51269645</v>
      </c>
      <c r="D95" s="37">
        <f>SUM(D22+D59+D63+D77)</f>
        <v>66313962</v>
      </c>
      <c r="E95" s="53">
        <f>D95/C95</f>
        <v>1.2934351700699311</v>
      </c>
    </row>
    <row r="96" spans="1:5">
      <c r="C96" s="23"/>
      <c r="D96" s="23"/>
    </row>
    <row r="97" spans="1:5" ht="15.75">
      <c r="A97" s="11" t="s">
        <v>42</v>
      </c>
      <c r="B97" s="30"/>
      <c r="C97" s="20">
        <f>C15+C95</f>
        <v>153932060</v>
      </c>
      <c r="D97" s="20">
        <f>D15+D95</f>
        <v>188937401</v>
      </c>
      <c r="E97" s="53">
        <f>D97/C97</f>
        <v>1.227407734295247</v>
      </c>
    </row>
    <row r="98" spans="1:5">
      <c r="C98" s="23"/>
      <c r="D98" s="23"/>
    </row>
    <row r="99" spans="1:5">
      <c r="A99" s="17"/>
      <c r="C99" s="12"/>
      <c r="D99" s="12"/>
    </row>
  </sheetData>
  <mergeCells count="3">
    <mergeCell ref="A1:E1"/>
    <mergeCell ref="A3:E3"/>
    <mergeCell ref="A18:E18"/>
  </mergeCells>
  <phoneticPr fontId="7" type="noConversion"/>
  <pageMargins left="0.61" right="0.17" top="0.63" bottom="0.25" header="1.04" footer="0.2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opLeftCell="A7" workbookViewId="0">
      <selection activeCell="G14" sqref="G14"/>
    </sheetView>
  </sheetViews>
  <sheetFormatPr defaultRowHeight="12.75"/>
  <cols>
    <col min="1" max="1" width="39.7109375" customWidth="1"/>
    <col min="2" max="2" width="13.140625" customWidth="1"/>
    <col min="3" max="3" width="16.42578125" customWidth="1"/>
    <col min="4" max="4" width="14.28515625" customWidth="1"/>
    <col min="5" max="5" width="14.42578125" customWidth="1"/>
    <col min="6" max="6" width="16.7109375" customWidth="1"/>
    <col min="7" max="7" width="12.140625" customWidth="1"/>
    <col min="8" max="8" width="9.5703125" customWidth="1"/>
    <col min="10" max="10" width="11.5703125" bestFit="1" customWidth="1"/>
  </cols>
  <sheetData>
    <row r="1" spans="1:10" ht="18">
      <c r="A1" s="73" t="s">
        <v>43</v>
      </c>
      <c r="B1" s="73"/>
      <c r="C1" s="73"/>
      <c r="D1" s="73"/>
      <c r="E1" s="73"/>
      <c r="F1" s="73"/>
      <c r="G1" s="73"/>
      <c r="H1" s="73"/>
    </row>
    <row r="3" spans="1:10" ht="15" customHeight="1">
      <c r="A3" s="81" t="s">
        <v>7</v>
      </c>
      <c r="B3" s="74" t="s">
        <v>87</v>
      </c>
      <c r="C3" s="75"/>
      <c r="D3" s="76"/>
      <c r="E3" s="77" t="s">
        <v>90</v>
      </c>
      <c r="F3" s="78"/>
      <c r="G3" s="78"/>
      <c r="H3" s="79" t="s">
        <v>82</v>
      </c>
    </row>
    <row r="4" spans="1:10" ht="75.75" customHeight="1">
      <c r="A4" s="80"/>
      <c r="B4" s="46" t="s">
        <v>80</v>
      </c>
      <c r="C4" s="46" t="s">
        <v>81</v>
      </c>
      <c r="D4" s="47" t="s">
        <v>18</v>
      </c>
      <c r="E4" s="46" t="s">
        <v>80</v>
      </c>
      <c r="F4" s="66" t="s">
        <v>81</v>
      </c>
      <c r="G4" s="47" t="s">
        <v>18</v>
      </c>
      <c r="H4" s="80"/>
    </row>
    <row r="5" spans="1:10" s="70" customFormat="1" ht="12.75" customHeight="1">
      <c r="A5" s="69">
        <v>1</v>
      </c>
      <c r="B5" s="69">
        <v>2</v>
      </c>
      <c r="C5" s="69">
        <v>3</v>
      </c>
      <c r="D5" s="69">
        <v>4</v>
      </c>
      <c r="E5" s="69">
        <v>5</v>
      </c>
      <c r="F5" s="71">
        <v>6</v>
      </c>
      <c r="G5" s="69">
        <v>7</v>
      </c>
      <c r="H5" s="69">
        <v>8</v>
      </c>
    </row>
    <row r="6" spans="1:10" ht="19.5" customHeight="1">
      <c r="A6" s="9" t="s">
        <v>8</v>
      </c>
      <c r="B6" s="58">
        <v>5479710</v>
      </c>
      <c r="C6" s="58">
        <f>3086921+2388788</f>
        <v>5475709</v>
      </c>
      <c r="D6" s="32">
        <f t="shared" ref="D6:D14" si="0">SUM(B6:C6)</f>
        <v>10955419</v>
      </c>
      <c r="E6" s="59">
        <f>6267000+2226024</f>
        <v>8493024</v>
      </c>
      <c r="F6" s="58">
        <f>2372104+591365+545057+194482+49118</f>
        <v>3752126</v>
      </c>
      <c r="G6" s="32">
        <f t="shared" ref="G6:G14" si="1">E6+F6</f>
        <v>12245150</v>
      </c>
      <c r="H6" s="16">
        <f>G6/D6</f>
        <v>1.117725392337801</v>
      </c>
      <c r="I6" s="63"/>
      <c r="J6" s="63"/>
    </row>
    <row r="7" spans="1:10" ht="22.5" customHeight="1">
      <c r="A7" s="9" t="s">
        <v>9</v>
      </c>
      <c r="B7" s="58">
        <v>1519205</v>
      </c>
      <c r="C7" s="58">
        <f>1464648+32710</f>
        <v>1497358</v>
      </c>
      <c r="D7" s="32">
        <f t="shared" si="0"/>
        <v>3016563</v>
      </c>
      <c r="E7" s="59">
        <f>446166+158634</f>
        <v>604800</v>
      </c>
      <c r="F7" s="58">
        <f>1679900+58238+282891+57536</f>
        <v>2078565</v>
      </c>
      <c r="G7" s="32">
        <f t="shared" si="1"/>
        <v>2683365</v>
      </c>
      <c r="H7" s="16">
        <f t="shared" ref="H7:H15" si="2">G7/D7</f>
        <v>0.88954382852272607</v>
      </c>
      <c r="I7" s="63"/>
      <c r="J7" s="63"/>
    </row>
    <row r="8" spans="1:10" ht="19.5" customHeight="1">
      <c r="A8" s="9" t="s">
        <v>10</v>
      </c>
      <c r="B8" s="58">
        <v>71861396</v>
      </c>
      <c r="C8" s="58">
        <f>1130033+717388</f>
        <v>1847421</v>
      </c>
      <c r="D8" s="32">
        <f t="shared" si="0"/>
        <v>73708817</v>
      </c>
      <c r="E8" s="59">
        <f>76443480+10598460</f>
        <v>87041940</v>
      </c>
      <c r="F8" s="58">
        <f>103394+51228+3000+561387+909000+106000+23495+36000+94866+15000+8515</f>
        <v>1911885</v>
      </c>
      <c r="G8" s="32">
        <f t="shared" si="1"/>
        <v>88953825</v>
      </c>
      <c r="H8" s="16">
        <f t="shared" si="2"/>
        <v>1.2068274681440079</v>
      </c>
      <c r="I8" s="63"/>
      <c r="J8" s="63"/>
    </row>
    <row r="9" spans="1:10" ht="21.75" customHeight="1">
      <c r="A9" s="9" t="s">
        <v>11</v>
      </c>
      <c r="B9" s="58">
        <v>6586001</v>
      </c>
      <c r="C9" s="58">
        <f>547353</f>
        <v>547353</v>
      </c>
      <c r="D9" s="32">
        <f t="shared" si="0"/>
        <v>7133354</v>
      </c>
      <c r="E9" s="59">
        <f>6711198+1761085</f>
        <v>8472283</v>
      </c>
      <c r="F9" s="58">
        <f>513154+4200+68500+15290</f>
        <v>601144</v>
      </c>
      <c r="G9" s="32">
        <f t="shared" si="1"/>
        <v>9073427</v>
      </c>
      <c r="H9" s="16">
        <f t="shared" si="2"/>
        <v>1.2719720625108468</v>
      </c>
      <c r="I9" s="63"/>
      <c r="J9" s="63"/>
    </row>
    <row r="10" spans="1:10" ht="30">
      <c r="A10" s="9" t="s">
        <v>14</v>
      </c>
      <c r="B10" s="58">
        <v>13544130</v>
      </c>
      <c r="C10" s="58">
        <f>1272652+19256</f>
        <v>1291908</v>
      </c>
      <c r="D10" s="32">
        <f t="shared" si="0"/>
        <v>14836038</v>
      </c>
      <c r="E10" s="59">
        <f>12068326+1676620</f>
        <v>13744946</v>
      </c>
      <c r="F10" s="58">
        <f>220464+35700+1665860+10840+66000+2000</f>
        <v>2000864</v>
      </c>
      <c r="G10" s="32">
        <f t="shared" si="1"/>
        <v>15745810</v>
      </c>
      <c r="H10" s="16">
        <f t="shared" si="2"/>
        <v>1.0613217625891764</v>
      </c>
      <c r="I10" s="63"/>
      <c r="J10" s="63"/>
    </row>
    <row r="11" spans="1:10" ht="60">
      <c r="A11" s="10" t="s">
        <v>108</v>
      </c>
      <c r="B11" s="58">
        <v>0</v>
      </c>
      <c r="C11" s="58">
        <v>26846806</v>
      </c>
      <c r="D11" s="32">
        <f t="shared" si="0"/>
        <v>26846806</v>
      </c>
      <c r="E11" s="59">
        <v>0</v>
      </c>
      <c r="F11" s="58">
        <f>19635663+747993+2340300+9647209+3103656+166450</f>
        <v>35641271</v>
      </c>
      <c r="G11" s="32">
        <f t="shared" si="1"/>
        <v>35641271</v>
      </c>
      <c r="H11" s="16">
        <f t="shared" si="2"/>
        <v>1.3275795638408532</v>
      </c>
      <c r="I11" s="63"/>
      <c r="J11" s="63"/>
    </row>
    <row r="12" spans="1:10" ht="30">
      <c r="A12" s="9" t="s">
        <v>70</v>
      </c>
      <c r="B12" s="58">
        <v>3433466</v>
      </c>
      <c r="C12" s="58">
        <f>4426367+356745</f>
        <v>4783112</v>
      </c>
      <c r="D12" s="32">
        <f t="shared" si="0"/>
        <v>8216578</v>
      </c>
      <c r="E12" s="59">
        <f>3782344+364273</f>
        <v>4146617</v>
      </c>
      <c r="F12" s="58">
        <f>1639966+441400+200903+1132548+737700+659600+26149+68992+40375+114000+397834+154600+26600+1260700+205975</f>
        <v>7107342</v>
      </c>
      <c r="G12" s="32">
        <f t="shared" si="1"/>
        <v>11253959</v>
      </c>
      <c r="H12" s="16">
        <f t="shared" si="2"/>
        <v>1.3696649627131878</v>
      </c>
      <c r="I12" s="63"/>
      <c r="J12" s="63"/>
    </row>
    <row r="13" spans="1:10" ht="32.25" customHeight="1">
      <c r="A13" s="9" t="s">
        <v>16</v>
      </c>
      <c r="B13" s="58">
        <v>0</v>
      </c>
      <c r="C13" s="58">
        <f>5952803</f>
        <v>5952803</v>
      </c>
      <c r="D13" s="32">
        <f t="shared" si="0"/>
        <v>5952803</v>
      </c>
      <c r="E13" s="59">
        <v>119829</v>
      </c>
      <c r="F13" s="58">
        <f>3649369+19060+621400+820200+740400+3931926+1137978</f>
        <v>10920333</v>
      </c>
      <c r="G13" s="32">
        <f t="shared" si="1"/>
        <v>11040162</v>
      </c>
      <c r="H13" s="16">
        <f t="shared" si="2"/>
        <v>1.8546157163272496</v>
      </c>
      <c r="I13" s="63"/>
      <c r="J13" s="63"/>
    </row>
    <row r="14" spans="1:10" ht="32.25" customHeight="1">
      <c r="A14" s="10" t="s">
        <v>17</v>
      </c>
      <c r="B14" s="58">
        <v>238507</v>
      </c>
      <c r="C14" s="58">
        <v>3027175</v>
      </c>
      <c r="D14" s="32">
        <f t="shared" si="0"/>
        <v>3265682</v>
      </c>
      <c r="E14" s="59">
        <v>0</v>
      </c>
      <c r="F14" s="58">
        <v>2300432</v>
      </c>
      <c r="G14" s="32">
        <f t="shared" si="1"/>
        <v>2300432</v>
      </c>
      <c r="H14" s="16">
        <f t="shared" si="2"/>
        <v>0.70442621173770137</v>
      </c>
      <c r="I14" s="63"/>
      <c r="J14" s="63"/>
    </row>
    <row r="15" spans="1:10" ht="22.5" customHeight="1">
      <c r="A15" s="10" t="s">
        <v>12</v>
      </c>
      <c r="B15" s="32">
        <f t="shared" ref="B15:D15" si="3">SUM(B6:B14)</f>
        <v>102662415</v>
      </c>
      <c r="C15" s="32">
        <f t="shared" si="3"/>
        <v>51269645</v>
      </c>
      <c r="D15" s="32">
        <f t="shared" si="3"/>
        <v>153932060</v>
      </c>
      <c r="E15" s="32">
        <f t="shared" ref="E15:G15" si="4">SUM(E6:E14)</f>
        <v>122623439</v>
      </c>
      <c r="F15" s="32">
        <f t="shared" si="4"/>
        <v>66313962</v>
      </c>
      <c r="G15" s="32">
        <f t="shared" si="4"/>
        <v>188937401</v>
      </c>
      <c r="H15" s="16">
        <f t="shared" si="2"/>
        <v>1.227407734295247</v>
      </c>
      <c r="I15" s="63"/>
      <c r="J15" s="63"/>
    </row>
    <row r="16" spans="1:10">
      <c r="I16" s="14"/>
    </row>
    <row r="17" spans="1:1">
      <c r="A17" s="17"/>
    </row>
  </sheetData>
  <mergeCells count="5">
    <mergeCell ref="A1:H1"/>
    <mergeCell ref="B3:D3"/>
    <mergeCell ref="E3:G3"/>
    <mergeCell ref="H3:H4"/>
    <mergeCell ref="A3:A4"/>
  </mergeCells>
  <phoneticPr fontId="7" type="noConversion"/>
  <pageMargins left="0.77" right="0.28000000000000003" top="1" bottom="0.67" header="0.5" footer="0.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activeCell="G11" sqref="G11"/>
    </sheetView>
  </sheetViews>
  <sheetFormatPr defaultRowHeight="12.75"/>
  <cols>
    <col min="1" max="1" width="39.28515625" customWidth="1"/>
    <col min="2" max="2" width="12.5703125" customWidth="1"/>
    <col min="3" max="3" width="15.7109375" customWidth="1"/>
    <col min="4" max="4" width="12.7109375" customWidth="1"/>
    <col min="5" max="5" width="13.140625" customWidth="1"/>
    <col min="6" max="6" width="15" customWidth="1"/>
    <col min="7" max="7" width="12.42578125" customWidth="1"/>
    <col min="8" max="8" width="11.140625" customWidth="1"/>
  </cols>
  <sheetData>
    <row r="1" spans="1:8" ht="18">
      <c r="A1" s="73" t="s">
        <v>44</v>
      </c>
      <c r="B1" s="73"/>
      <c r="C1" s="73"/>
      <c r="D1" s="73"/>
      <c r="E1" s="73"/>
      <c r="F1" s="73"/>
      <c r="G1" s="73"/>
      <c r="H1" s="73"/>
    </row>
    <row r="3" spans="1:8" ht="15" customHeight="1">
      <c r="A3" s="82" t="s">
        <v>7</v>
      </c>
      <c r="B3" s="83" t="s">
        <v>87</v>
      </c>
      <c r="C3" s="83"/>
      <c r="D3" s="83"/>
      <c r="E3" s="83" t="s">
        <v>88</v>
      </c>
      <c r="F3" s="84"/>
      <c r="G3" s="84"/>
      <c r="H3" s="85" t="s">
        <v>83</v>
      </c>
    </row>
    <row r="4" spans="1:8" ht="79.5" customHeight="1">
      <c r="A4" s="82"/>
      <c r="B4" s="7" t="s">
        <v>80</v>
      </c>
      <c r="C4" s="7" t="s">
        <v>71</v>
      </c>
      <c r="D4" s="31" t="s">
        <v>18</v>
      </c>
      <c r="E4" s="52" t="s">
        <v>80</v>
      </c>
      <c r="F4" s="66" t="s">
        <v>71</v>
      </c>
      <c r="G4" s="31" t="s">
        <v>18</v>
      </c>
      <c r="H4" s="85"/>
    </row>
    <row r="5" spans="1:8" s="70" customFormat="1" ht="11.25">
      <c r="A5" s="69">
        <v>1</v>
      </c>
      <c r="B5" s="71">
        <v>2</v>
      </c>
      <c r="C5" s="71">
        <v>3</v>
      </c>
      <c r="D5" s="71">
        <v>4</v>
      </c>
      <c r="E5" s="71">
        <v>5</v>
      </c>
      <c r="F5" s="71">
        <v>6</v>
      </c>
      <c r="G5" s="71">
        <v>7</v>
      </c>
      <c r="H5" s="69">
        <v>8</v>
      </c>
    </row>
    <row r="6" spans="1:8" ht="15">
      <c r="A6" s="8" t="s">
        <v>85</v>
      </c>
      <c r="B6" s="58">
        <f>58991724+4178218</f>
        <v>63169942</v>
      </c>
      <c r="C6" s="58">
        <f>4733852+1086573+1311731+767734</f>
        <v>7899890</v>
      </c>
      <c r="D6" s="32">
        <f t="shared" ref="D6:D12" si="0">SUM(B6:C6)</f>
        <v>71069832</v>
      </c>
      <c r="E6" s="58">
        <f>10776179+53450180+3023598+5840868+1102680+37888+1498597+180000+1579026+45400+31593-5757</f>
        <v>77560252</v>
      </c>
      <c r="F6" s="58">
        <f>1569075+723789+581865+192397+468000+244461+30000+9609+16600+53000+14500+96000+87500+525000+42000+403000+121100+5000+179+1358300+78000+347000+11000+433000+42600+358500+10240+9164+320</f>
        <v>7831199</v>
      </c>
      <c r="G6" s="32">
        <f t="shared" ref="G6:G12" si="1">SUM(E6:F6)</f>
        <v>85391451</v>
      </c>
      <c r="H6" s="16">
        <f>(G6/D6)</f>
        <v>1.2015147439774445</v>
      </c>
    </row>
    <row r="7" spans="1:8" ht="15">
      <c r="A7" s="8" t="s">
        <v>86</v>
      </c>
      <c r="B7" s="58">
        <v>12824856</v>
      </c>
      <c r="C7" s="58">
        <f>1064932+351080</f>
        <v>1416012</v>
      </c>
      <c r="D7" s="32">
        <f t="shared" si="0"/>
        <v>14240868</v>
      </c>
      <c r="E7" s="58">
        <f>2213689+12010203+1369462+298104+320587+5757</f>
        <v>16217802</v>
      </c>
      <c r="F7" s="58">
        <f>389409+12100+7059+91000+46111+10600+28700+114200+83500+21+263800+68200+93000+68900+1000+75</f>
        <v>1277675</v>
      </c>
      <c r="G7" s="32">
        <f t="shared" si="1"/>
        <v>17495477</v>
      </c>
      <c r="H7" s="16">
        <f t="shared" ref="H7:H13" si="2">(G7/D7)</f>
        <v>1.2285400721360524</v>
      </c>
    </row>
    <row r="8" spans="1:8" ht="15">
      <c r="A8" s="62" t="s">
        <v>84</v>
      </c>
      <c r="B8" s="59">
        <f>19637286+229550+238507+58689</f>
        <v>20164032</v>
      </c>
      <c r="C8" s="59">
        <f>25411579+462242+66300+2522175+619101+500+500</f>
        <v>29082397</v>
      </c>
      <c r="D8" s="32">
        <f t="shared" si="0"/>
        <v>49246429</v>
      </c>
      <c r="E8" s="58">
        <f>4508321+1060+12961365+75909+281696+3904668+11260+33195+2086371-1464791+9100</f>
        <v>22408154</v>
      </c>
      <c r="F8" s="58">
        <f>26793373-476100+489528+697900+500+1397195+17500+653200+123479+458023+97400+14900+200+860348+17448+39052+16218+30782+26149+68992+9800+30375+634000+6200+192900+2300+247100+4500+253460+49300-395-44500</f>
        <v>32711127</v>
      </c>
      <c r="G8" s="32">
        <f t="shared" si="1"/>
        <v>55119281</v>
      </c>
      <c r="H8" s="16">
        <f t="shared" si="2"/>
        <v>1.1192543727383766</v>
      </c>
    </row>
    <row r="9" spans="1:8" ht="15">
      <c r="A9" s="8" t="s">
        <v>19</v>
      </c>
      <c r="B9" s="58">
        <v>0</v>
      </c>
      <c r="C9" s="21">
        <f>505000</f>
        <v>505000</v>
      </c>
      <c r="D9" s="32">
        <f t="shared" si="0"/>
        <v>505000</v>
      </c>
      <c r="E9" s="58">
        <v>0</v>
      </c>
      <c r="F9" s="67">
        <v>476100</v>
      </c>
      <c r="G9" s="32">
        <f t="shared" si="1"/>
        <v>476100</v>
      </c>
      <c r="H9" s="16">
        <f t="shared" si="2"/>
        <v>0.94277227722772272</v>
      </c>
    </row>
    <row r="10" spans="1:8" ht="15">
      <c r="A10" s="8" t="s">
        <v>20</v>
      </c>
      <c r="B10" s="59">
        <v>59357</v>
      </c>
      <c r="C10" s="59">
        <f>270000</f>
        <v>270000</v>
      </c>
      <c r="D10" s="32">
        <f t="shared" si="0"/>
        <v>329357</v>
      </c>
      <c r="E10" s="58">
        <f>43858+1800+38688</f>
        <v>84346</v>
      </c>
      <c r="F10" s="58">
        <f>230000+30000</f>
        <v>260000</v>
      </c>
      <c r="G10" s="32">
        <f t="shared" si="1"/>
        <v>344346</v>
      </c>
      <c r="H10" s="16">
        <f t="shared" si="2"/>
        <v>1.0455098874473596</v>
      </c>
    </row>
    <row r="11" spans="1:8" ht="15">
      <c r="A11" s="8" t="s">
        <v>22</v>
      </c>
      <c r="B11" s="59">
        <v>1286844</v>
      </c>
      <c r="C11" s="59">
        <f>500000+250000+30000</f>
        <v>780000</v>
      </c>
      <c r="D11" s="32">
        <f t="shared" si="0"/>
        <v>2066844</v>
      </c>
      <c r="E11" s="58">
        <f>119829+1464791</f>
        <v>1584620</v>
      </c>
      <c r="F11" s="58">
        <f>331400+1424000+30000</f>
        <v>1785400</v>
      </c>
      <c r="G11" s="32">
        <f t="shared" si="1"/>
        <v>3370020</v>
      </c>
      <c r="H11" s="16">
        <f t="shared" si="2"/>
        <v>1.6305149300092314</v>
      </c>
    </row>
    <row r="12" spans="1:8" ht="15">
      <c r="A12" s="8" t="s">
        <v>21</v>
      </c>
      <c r="B12" s="59">
        <v>5157384</v>
      </c>
      <c r="C12" s="58">
        <f>10882105+434241</f>
        <v>11316346</v>
      </c>
      <c r="D12" s="32">
        <f t="shared" si="0"/>
        <v>16473730</v>
      </c>
      <c r="E12" s="58">
        <f>3705513+41250+9600+1011902</f>
        <v>4768265</v>
      </c>
      <c r="F12" s="58">
        <v>21972461</v>
      </c>
      <c r="G12" s="32">
        <f t="shared" si="1"/>
        <v>26740726</v>
      </c>
      <c r="H12" s="16">
        <f t="shared" si="2"/>
        <v>1.6232344466007396</v>
      </c>
    </row>
    <row r="13" spans="1:8" ht="15">
      <c r="A13" s="3" t="s">
        <v>12</v>
      </c>
      <c r="B13" s="32">
        <f t="shared" ref="B13:D13" si="3">SUM(B6:B12)</f>
        <v>102662415</v>
      </c>
      <c r="C13" s="32">
        <f t="shared" si="3"/>
        <v>51269645</v>
      </c>
      <c r="D13" s="32">
        <f t="shared" si="3"/>
        <v>153932060</v>
      </c>
      <c r="E13" s="32">
        <f t="shared" ref="E13:G13" si="4">SUM(E6:E12)</f>
        <v>122623439</v>
      </c>
      <c r="F13" s="32">
        <f t="shared" si="4"/>
        <v>66313962</v>
      </c>
      <c r="G13" s="32">
        <f t="shared" si="4"/>
        <v>188937401</v>
      </c>
      <c r="H13" s="16">
        <f t="shared" si="2"/>
        <v>1.227407734295247</v>
      </c>
    </row>
    <row r="14" spans="1:8">
      <c r="B14" s="23"/>
      <c r="C14" s="23"/>
      <c r="D14" s="23"/>
      <c r="E14" s="60"/>
      <c r="F14" s="61"/>
      <c r="G14" s="60"/>
    </row>
    <row r="15" spans="1:8">
      <c r="B15" s="23"/>
      <c r="C15" s="23"/>
      <c r="E15" s="23"/>
      <c r="F15" s="23"/>
    </row>
  </sheetData>
  <mergeCells count="5">
    <mergeCell ref="A1:H1"/>
    <mergeCell ref="A3:A4"/>
    <mergeCell ref="B3:D3"/>
    <mergeCell ref="E3:G3"/>
    <mergeCell ref="H3:H4"/>
  </mergeCells>
  <phoneticPr fontId="7" type="noConversion"/>
  <pageMargins left="0.64" right="0.53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topLeftCell="A4" workbookViewId="0">
      <selection activeCell="G12" sqref="G12"/>
    </sheetView>
  </sheetViews>
  <sheetFormatPr defaultRowHeight="12.75"/>
  <cols>
    <col min="1" max="1" width="45.28515625" customWidth="1"/>
    <col min="2" max="2" width="14.85546875" customWidth="1"/>
    <col min="3" max="3" width="13.85546875" customWidth="1"/>
    <col min="4" max="5" width="12.140625" customWidth="1"/>
    <col min="6" max="6" width="14.85546875" customWidth="1"/>
    <col min="7" max="7" width="14.140625" customWidth="1"/>
    <col min="8" max="8" width="11.140625" customWidth="1"/>
  </cols>
  <sheetData>
    <row r="1" spans="1:9" ht="18">
      <c r="A1" s="73" t="s">
        <v>45</v>
      </c>
      <c r="B1" s="73"/>
      <c r="C1" s="73"/>
      <c r="D1" s="73"/>
      <c r="E1" s="73"/>
      <c r="F1" s="73"/>
      <c r="G1" s="73"/>
    </row>
    <row r="3" spans="1:9" ht="18" customHeight="1">
      <c r="A3" s="81" t="s">
        <v>7</v>
      </c>
      <c r="B3" s="74" t="s">
        <v>87</v>
      </c>
      <c r="C3" s="75"/>
      <c r="D3" s="76"/>
      <c r="E3" s="77" t="s">
        <v>90</v>
      </c>
      <c r="F3" s="78"/>
      <c r="G3" s="78"/>
      <c r="H3" s="79" t="s">
        <v>82</v>
      </c>
    </row>
    <row r="4" spans="1:9" ht="78" customHeight="1">
      <c r="A4" s="80"/>
      <c r="B4" s="46" t="s">
        <v>80</v>
      </c>
      <c r="C4" s="46" t="s">
        <v>81</v>
      </c>
      <c r="D4" s="47" t="s">
        <v>18</v>
      </c>
      <c r="E4" s="46" t="s">
        <v>80</v>
      </c>
      <c r="F4" s="46" t="s">
        <v>81</v>
      </c>
      <c r="G4" s="47" t="s">
        <v>18</v>
      </c>
      <c r="H4" s="80"/>
    </row>
    <row r="5" spans="1:9" s="70" customFormat="1" ht="11.25">
      <c r="A5" s="69">
        <v>1</v>
      </c>
      <c r="B5" s="69">
        <v>2</v>
      </c>
      <c r="C5" s="69">
        <v>3</v>
      </c>
      <c r="D5" s="69">
        <v>4</v>
      </c>
      <c r="E5" s="69">
        <v>5</v>
      </c>
      <c r="F5" s="69">
        <v>6</v>
      </c>
      <c r="G5" s="69">
        <v>7</v>
      </c>
      <c r="H5" s="69">
        <v>8</v>
      </c>
    </row>
    <row r="6" spans="1:9" ht="22.5" customHeight="1">
      <c r="A6" s="9" t="s">
        <v>8</v>
      </c>
      <c r="B6" s="58">
        <v>0</v>
      </c>
      <c r="C6" s="58">
        <f>443604</f>
        <v>443604</v>
      </c>
      <c r="D6" s="32">
        <f t="shared" ref="D6:D13" si="0">SUM(B6:C6)</f>
        <v>443604</v>
      </c>
      <c r="E6" s="59">
        <v>0</v>
      </c>
      <c r="F6" s="59">
        <f>194482+49118</f>
        <v>243600</v>
      </c>
      <c r="G6" s="32">
        <f t="shared" ref="G6:G13" si="1">E6+F6</f>
        <v>243600</v>
      </c>
      <c r="H6" s="16">
        <f>G6/D6</f>
        <v>0.54913842075364516</v>
      </c>
      <c r="I6" s="12"/>
    </row>
    <row r="7" spans="1:9" ht="20.25" customHeight="1">
      <c r="A7" s="9" t="s">
        <v>9</v>
      </c>
      <c r="B7" s="58">
        <v>835557</v>
      </c>
      <c r="C7" s="58">
        <f>102648</f>
        <v>102648</v>
      </c>
      <c r="D7" s="32">
        <f t="shared" si="0"/>
        <v>938205</v>
      </c>
      <c r="E7" s="59">
        <v>0</v>
      </c>
      <c r="F7" s="59">
        <f>282891+57536</f>
        <v>340427</v>
      </c>
      <c r="G7" s="32">
        <f t="shared" si="1"/>
        <v>340427</v>
      </c>
      <c r="H7" s="16">
        <f t="shared" ref="H7:H14" si="2">G7/D7</f>
        <v>0.36284927068178063</v>
      </c>
      <c r="I7" s="12"/>
    </row>
    <row r="8" spans="1:9" ht="18" customHeight="1">
      <c r="A8" s="9" t="s">
        <v>10</v>
      </c>
      <c r="B8" s="58">
        <v>3937628</v>
      </c>
      <c r="C8" s="58">
        <f>460156+322941</f>
        <v>783097</v>
      </c>
      <c r="D8" s="32">
        <f t="shared" si="0"/>
        <v>4720725</v>
      </c>
      <c r="E8" s="59">
        <v>4037391</v>
      </c>
      <c r="F8" s="59">
        <f>909000+8515+106000+23495+36000+15000+94866</f>
        <v>1192876</v>
      </c>
      <c r="G8" s="32">
        <f t="shared" si="1"/>
        <v>5230267</v>
      </c>
      <c r="H8" s="16">
        <f t="shared" si="2"/>
        <v>1.1079372342172018</v>
      </c>
      <c r="I8" s="12"/>
    </row>
    <row r="9" spans="1:9" ht="18.75" customHeight="1">
      <c r="A9" s="9" t="s">
        <v>11</v>
      </c>
      <c r="B9" s="58">
        <v>211946</v>
      </c>
      <c r="C9" s="58">
        <v>0</v>
      </c>
      <c r="D9" s="32">
        <f t="shared" si="0"/>
        <v>211946</v>
      </c>
      <c r="E9" s="59">
        <v>347264</v>
      </c>
      <c r="F9" s="59">
        <f>68500+15290</f>
        <v>83790</v>
      </c>
      <c r="G9" s="32">
        <f t="shared" si="1"/>
        <v>431054</v>
      </c>
      <c r="H9" s="16">
        <f t="shared" si="2"/>
        <v>2.0337916261689299</v>
      </c>
      <c r="I9" s="12"/>
    </row>
    <row r="10" spans="1:9" ht="33.75" customHeight="1">
      <c r="A10" s="9" t="s">
        <v>14</v>
      </c>
      <c r="B10" s="58">
        <v>155053</v>
      </c>
      <c r="C10" s="58">
        <f>4000+9600</f>
        <v>13600</v>
      </c>
      <c r="D10" s="32">
        <f t="shared" si="0"/>
        <v>168653</v>
      </c>
      <c r="E10" s="59">
        <v>342360</v>
      </c>
      <c r="F10" s="59">
        <f>10840+66000+2000</f>
        <v>78840</v>
      </c>
      <c r="G10" s="32">
        <f t="shared" si="1"/>
        <v>421200</v>
      </c>
      <c r="H10" s="16">
        <f t="shared" si="2"/>
        <v>2.4974355629606353</v>
      </c>
      <c r="I10" s="12"/>
    </row>
    <row r="11" spans="1:9" ht="63" customHeight="1">
      <c r="A11" s="10" t="s">
        <v>15</v>
      </c>
      <c r="B11" s="58">
        <v>0</v>
      </c>
      <c r="C11" s="58">
        <v>8770849</v>
      </c>
      <c r="D11" s="32">
        <f t="shared" si="0"/>
        <v>8770849</v>
      </c>
      <c r="E11" s="59">
        <v>0</v>
      </c>
      <c r="F11" s="59">
        <f>9647209+166450+3103656</f>
        <v>12917315</v>
      </c>
      <c r="G11" s="32">
        <f t="shared" si="1"/>
        <v>12917315</v>
      </c>
      <c r="H11" s="16">
        <f t="shared" si="2"/>
        <v>1.472755374080662</v>
      </c>
      <c r="I11" s="12"/>
    </row>
    <row r="12" spans="1:9" ht="30">
      <c r="A12" s="9" t="s">
        <v>70</v>
      </c>
      <c r="B12" s="58">
        <v>17200</v>
      </c>
      <c r="C12" s="58">
        <f>872103+101700</f>
        <v>973803</v>
      </c>
      <c r="D12" s="32">
        <f t="shared" si="0"/>
        <v>991003</v>
      </c>
      <c r="E12" s="59">
        <v>41250</v>
      </c>
      <c r="F12" s="59">
        <f>397834+154600+26600+205975+1260700</f>
        <v>2045709</v>
      </c>
      <c r="G12" s="32">
        <f t="shared" si="1"/>
        <v>2086959</v>
      </c>
      <c r="H12" s="16">
        <f t="shared" si="2"/>
        <v>2.1059058347956565</v>
      </c>
      <c r="I12" s="12"/>
    </row>
    <row r="13" spans="1:9" ht="21.75" customHeight="1">
      <c r="A13" s="9" t="s">
        <v>16</v>
      </c>
      <c r="B13" s="58">
        <v>0</v>
      </c>
      <c r="C13" s="58">
        <f>228745</f>
        <v>228745</v>
      </c>
      <c r="D13" s="32">
        <f t="shared" si="0"/>
        <v>228745</v>
      </c>
      <c r="E13" s="59">
        <v>0</v>
      </c>
      <c r="F13" s="59">
        <f>3931926+1137978</f>
        <v>5069904</v>
      </c>
      <c r="G13" s="32">
        <f t="shared" si="1"/>
        <v>5069904</v>
      </c>
      <c r="H13" s="16">
        <f t="shared" si="2"/>
        <v>22.163999213097554</v>
      </c>
      <c r="I13" s="12"/>
    </row>
    <row r="14" spans="1:9" ht="15">
      <c r="A14" s="10" t="s">
        <v>12</v>
      </c>
      <c r="B14" s="32">
        <f t="shared" ref="B14:G14" si="3">SUM(B6:B13)</f>
        <v>5157384</v>
      </c>
      <c r="C14" s="32">
        <f t="shared" si="3"/>
        <v>11316346</v>
      </c>
      <c r="D14" s="32">
        <f t="shared" si="3"/>
        <v>16473730</v>
      </c>
      <c r="E14" s="32">
        <f t="shared" si="3"/>
        <v>4768265</v>
      </c>
      <c r="F14" s="32">
        <f t="shared" si="3"/>
        <v>21972461</v>
      </c>
      <c r="G14" s="32">
        <f t="shared" si="3"/>
        <v>26740726</v>
      </c>
      <c r="H14" s="16">
        <f t="shared" si="2"/>
        <v>1.6232344466007396</v>
      </c>
    </row>
    <row r="15" spans="1:9">
      <c r="A15" s="17"/>
    </row>
  </sheetData>
  <mergeCells count="5">
    <mergeCell ref="H3:H4"/>
    <mergeCell ref="A3:A4"/>
    <mergeCell ref="A1:G1"/>
    <mergeCell ref="B3:D3"/>
    <mergeCell ref="E3:G3"/>
  </mergeCells>
  <phoneticPr fontId="7" type="noConversion"/>
  <pageMargins left="0.42" right="0.51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4</vt:i4>
      </vt:variant>
    </vt:vector>
  </HeadingPairs>
  <TitlesOfParts>
    <vt:vector size="4" baseType="lpstr">
      <vt:lpstr>приходи</vt:lpstr>
      <vt:lpstr>разходи-ФУНК.</vt:lpstr>
      <vt:lpstr>разходи-ЕЛЕМ.</vt:lpstr>
      <vt:lpstr>капит.разх.</vt:lpstr>
    </vt:vector>
  </TitlesOfParts>
  <Company>Sliven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Obst</dc:creator>
  <cp:lastModifiedBy>NLovchalieva</cp:lastModifiedBy>
  <cp:lastPrinted>2022-03-09T06:00:49Z</cp:lastPrinted>
  <dcterms:created xsi:type="dcterms:W3CDTF">2002-03-07T12:55:40Z</dcterms:created>
  <dcterms:modified xsi:type="dcterms:W3CDTF">2023-08-17T08:24:25Z</dcterms:modified>
</cp:coreProperties>
</file>